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bourns-my.sharepoint.com/personal/jessica_martin_bourns_com/Documents/Documents/Product Compliance/Responsible Minerals Initiative/2024/CMRT/Bourns Completed CMRT v6.4/"/>
    </mc:Choice>
  </mc:AlternateContent>
  <xr:revisionPtr revIDLastSave="17" documentId="8_{12952FDD-81AF-4E54-8DA4-B2EEC093DB9A}" xr6:coauthVersionLast="47" xr6:coauthVersionMax="47" xr10:uidLastSave="{5BD12395-436E-45EB-BC41-83572FDFEAF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<sst xmlns="http://schemas.openxmlformats.org/spreadsheetml/2006/main" count="22523" uniqueCount="15878">
  <si>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</si>
  <si>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</si>
  <si>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</si>
  <si>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</si>
  <si>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</si>
  <si>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</si>
  <si>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</si>
  <si>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</si>
  <si>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</si>
  <si>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</si>
  <si>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</si>
  <si>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</si>
  <si>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</si>
  <si>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</si>
  <si>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</si>
  <si>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</si>
  <si>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</si>
  <si>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</si>
  <si>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</si>
  <si>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</si>
  <si>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</si>
  <si>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</si>
  <si>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</si>
  <si>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</si>
  <si>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</si>
  <si>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</si>
  <si>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</si>
  <si>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</si>
  <si>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</si>
  <si>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</si>
  <si>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</si>
  <si>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</si>
  <si>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</si>
  <si>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</si>
  <si>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</si>
  <si>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</si>
  <si>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</si>
  <si>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</si>
  <si>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</si>
  <si>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</si>
  <si>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</si>
  <si>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</si>
  <si>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</si>
  <si>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</si>
  <si>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</si>
  <si>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</si>
  <si>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</si>
  <si>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</si>
  <si>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</si>
  <si>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</si>
  <si>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</si>
  <si>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</si>
  <si>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</si>
  <si>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</si>
  <si>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</si>
  <si>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</si>
  <si>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</si>
  <si>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</si>
  <si>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</si>
  <si>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</si>
  <si>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</si>
  <si>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</si>
  <si>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</si>
  <si>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</si>
  <si>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</si>
  <si>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</si>
  <si>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</si>
  <si>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</si>
  <si>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</si>
  <si>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</si>
  <si>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</si>
  <si>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</si>
  <si>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</si>
  <si>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</si>
  <si>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</si>
  <si>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</si>
  <si>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</si>
  <si>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</si>
  <si>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</si>
  <si>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</si>
  <si>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</si>
  <si>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</si>
  <si>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</si>
  <si>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</si>
  <si>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</si>
  <si>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</si>
  <si>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</si>
  <si>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</si>
  <si>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</si>
  <si>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</si>
  <si>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</si>
  <si>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</si>
  <si>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</si>
  <si>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</si>
  <si>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</si>
  <si>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</si>
  <si>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</si>
  <si>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</si>
  <si>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</si>
  <si>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</si>
  <si>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</si>
  <si>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</si>
  <si>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</si>
  <si>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</si>
  <si>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</si>
  <si>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</si>
  <si>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</si>
  <si>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</si>
  <si>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</si>
  <si>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</si>
  <si>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</si>
  <si>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</si>
  <si>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</si>
  <si>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</si>
  <si>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</si>
  <si>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</si>
  <si>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</si>
  <si>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</si>
  <si>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</si>
  <si>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</si>
  <si>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</si>
  <si>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</si>
  <si>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</si>
  <si>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</si>
  <si>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</si>
  <si>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</si>
  <si>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</si>
  <si>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</si>
  <si>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</si>
  <si>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</si>
  <si>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</si>
  <si>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</si>
  <si>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</si>
  <si>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</si>
  <si>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</si>
  <si>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</si>
  <si>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</si>
  <si>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</si>
  <si>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</si>
  <si>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</si>
  <si>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</si>
  <si>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</si>
  <si>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</si>
  <si>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</si>
  <si>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</si>
  <si>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</si>
  <si>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</si>
  <si>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</si>
  <si>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</si>
  <si>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</si>
  <si>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</si>
  <si>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</si>
  <si>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</si>
  <si>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</si>
  <si>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</si>
  <si>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</si>
  <si>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</si>
  <si>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</si>
  <si>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</si>
  <si>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</si>
  <si>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</si>
  <si>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</si>
  <si>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</si>
  <si>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</si>
  <si>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</si>
  <si>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</si>
  <si>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</si>
  <si>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</si>
  <si>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</si>
  <si>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</si>
  <si>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</si>
  <si>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</si>
  <si>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</si>
  <si>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</si>
  <si>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</si>
  <si>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</si>
  <si>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</si>
  <si>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</si>
  <si>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</si>
  <si>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</si>
  <si>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</si>
  <si>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</si>
  <si>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</si>
  <si>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</si>
  <si>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</si>
  <si>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</si>
  <si>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</si>
  <si>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</si>
  <si>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</si>
  <si>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</si>
  <si>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</si>
  <si>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</si>
  <si>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</si>
  <si>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</si>
  <si>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</si>
  <si>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</si>
  <si>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</si>
  <si>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</si>
  <si>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</si>
  <si>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</si>
  <si>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</si>
  <si>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</si>
  <si>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</si>
  <si>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</si>
  <si>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</si>
  <si>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</si>
  <si>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</si>
  <si>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</si>
  <si>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</si>
  <si>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</si>
  <si>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</si>
  <si>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</si>
  <si>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</si>
  <si>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</si>
  <si>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</si>
  <si>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</si>
  <si>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</si>
  <si>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</si>
  <si>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</si>
  <si>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</si>
  <si>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</si>
  <si>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</si>
  <si>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</si>
  <si>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</si>
  <si>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</si>
  <si>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</si>
  <si>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</si>
  <si>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</si>
  <si>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</si>
  <si>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</si>
  <si>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</si>
  <si>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</si>
  <si>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</si>
  <si>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</si>
  <si>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</si>
  <si>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</si>
  <si>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</si>
  <si>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</si>
  <si>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</si>
  <si>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</si>
  <si>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</si>
  <si>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</si>
  <si>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</si>
  <si>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</si>
  <si>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</si>
  <si>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</si>
  <si>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</si>
  <si>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</si>
  <si>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</si>
  <si>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</si>
  <si>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</si>
  <si>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</si>
  <si>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</si>
  <si>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</si>
  <si>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</si>
  <si>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</si>
  <si>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</si>
  <si>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</si>
  <si>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</si>
  <si>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</si>
  <si>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</si>
  <si>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</si>
  <si>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</si>
  <si>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</si>
  <si>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</si>
  <si>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</si>
  <si>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</si>
  <si>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</si>
  <si>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</si>
  <si>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</si>
  <si>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</si>
  <si>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</si>
  <si>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</si>
  <si>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</si>
  <si>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</si>
  <si>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</si>
  <si>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</si>
  <si>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</si>
  <si>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</si>
  <si>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</si>
  <si>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</si>
  <si>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</si>
  <si>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</si>
  <si>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</si>
  <si>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</si>
  <si>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</si>
  <si>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</si>
  <si>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</si>
  <si>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</si>
  <si>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</si>
  <si>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</si>
  <si>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</si>
  <si>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</si>
  <si>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</si>
  <si>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</si>
  <si>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</si>
  <si>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</si>
  <si>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</si>
  <si>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</si>
  <si>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</si>
  <si>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</si>
  <si>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</si>
  <si>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</si>
  <si>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</si>
  <si>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</si>
  <si>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</si>
  <si>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</si>
  <si>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</si>
  <si>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</si>
  <si>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</si>
  <si>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</si>
  <si>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</si>
  <si>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</si>
  <si>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</si>
  <si>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</si>
  <si>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</si>
  <si>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</si>
  <si>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</si>
  <si>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</si>
  <si>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</si>
  <si>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</si>
  <si>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</si>
  <si>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</si>
  <si>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</si>
  <si>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</si>
  <si>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</si>
  <si>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</si>
  <si>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</si>
  <si>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</si>
  <si>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</si>
  <si>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</si>
  <si>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</si>
  <si>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</si>
  <si>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</si>
  <si>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</si>
  <si>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</si>
  <si>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</si>
  <si>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</si>
  <si>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</si>
  <si>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</si>
  <si>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</si>
  <si>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</si>
  <si>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</si>
  <si>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</si>
  <si>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</si>
  <si>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</si>
  <si>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</si>
  <si>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</si>
  <si>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</si>
  <si>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</si>
  <si>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</si>
  <si>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</si>
  <si>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</si>
  <si>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</si>
  <si>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</si>
  <si>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</si>
  <si>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</si>
  <si>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</si>
  <si>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</si>
  <si>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</si>
  <si>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</si>
  <si>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</si>
  <si>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</si>
  <si>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</si>
  <si>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</si>
  <si>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</si>
  <si>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</si>
  <si>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</si>
  <si>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</si>
  <si>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</si>
  <si>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</si>
  <si>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</si>
  <si>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</si>
  <si>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</si>
  <si>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</si>
  <si>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</si>
  <si>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</si>
  <si>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</si>
  <si>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</si>
  <si>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</si>
  <si>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</si>
  <si>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</si>
  <si>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</si>
  <si>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</si>
  <si>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</si>
  <si>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</si>
  <si>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</si>
  <si>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</si>
  <si>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</si>
  <si>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</si>
  <si>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</si>
  <si>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</si>
  <si>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</si>
  <si>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</si>
  <si>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</si>
  <si>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</si>
  <si>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</si>
  <si>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</si>
  <si>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</si>
  <si>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</si>
  <si>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</si>
  <si>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</si>
  <si>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</si>
  <si>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</si>
  <si>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</si>
  <si>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</si>
  <si>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</si>
  <si>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</si>
  <si>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</si>
  <si>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</si>
  <si>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</si>
  <si>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</si>
  <si>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</si>
  <si>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</si>
  <si>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</si>
  <si>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</si>
  <si>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</si>
  <si>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</si>
  <si>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</si>
  <si>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</si>
  <si>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</si>
  <si>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</si>
  <si>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</si>
  <si>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</si>
  <si>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</si>
  <si>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</si>
  <si>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</si>
  <si>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</si>
  <si>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</si>
  <si>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</si>
  <si>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</si>
  <si>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</si>
  <si>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</si>
  <si>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</si>
  <si>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</si>
  <si>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</si>
  <si>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</si>
  <si>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</si>
  <si>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</si>
  <si>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</si>
  <si>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</si>
  <si>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</si>
  <si>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</si>
  <si>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</si>
  <si>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</si>
  <si>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</si>
  <si>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</si>
  <si>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</si>
  <si>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</si>
  <si>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</si>
  <si>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</si>
  <si>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</si>
  <si>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</si>
  <si>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</si>
  <si>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</si>
  <si>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</si>
  <si>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</si>
  <si>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</si>
  <si>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</si>
  <si>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</si>
  <si>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</si>
  <si>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</si>
  <si>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</si>
  <si>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</si>
  <si>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</si>
  <si>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</si>
  <si>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</si>
  <si>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</si>
  <si>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</si>
  <si>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</si>
  <si>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</si>
  <si>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</si>
  <si>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</si>
  <si>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</si>
  <si>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</si>
  <si>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</si>
  <si>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</si>
  <si>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</si>
  <si>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</si>
  <si>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</si>
  <si>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</si>
  <si>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</si>
  <si>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</si>
  <si>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</si>
  <si>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</si>
  <si>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</si>
  <si>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</si>
  <si>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</si>
  <si>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</si>
  <si>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</si>
  <si>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</si>
  <si>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</si>
  <si>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</si>
  <si>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</si>
  <si>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</si>
  <si>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</si>
  <si>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</si>
  <si>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</si>
  <si>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</si>
  <si>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</si>
  <si>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</si>
  <si>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</si>
  <si>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</si>
  <si>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</si>
  <si>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</si>
  <si>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</si>
  <si>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</si>
  <si>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</si>
  <si>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</si>
  <si>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</si>
  <si>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</si>
  <si>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</si>
  <si>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</si>
  <si>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</si>
  <si>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</si>
  <si>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</si>
  <si>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</si>
  <si>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</si>
  <si>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</si>
  <si>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</si>
  <si>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</si>
  <si>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</si>
  <si>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</si>
  <si>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</si>
  <si>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</si>
  <si>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</si>
  <si>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</si>
  <si>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</si>
  <si>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</si>
  <si>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</si>
  <si>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</si>
  <si>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</si>
  <si>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</si>
  <si>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</si>
  <si>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</si>
  <si>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</si>
  <si>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</si>
  <si>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</si>
  <si>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</si>
  <si>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</si>
  <si>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</si>
  <si>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</si>
  <si>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</si>
  <si>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</si>
  <si>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</si>
  <si>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</si>
  <si>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</si>
  <si>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</si>
  <si>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</si>
  <si>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</si>
  <si>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</si>
  <si>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</si>
  <si>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</si>
  <si>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</si>
  <si>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</si>
  <si>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</si>
  <si>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</si>
  <si>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</si>
  <si>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</si>
  <si>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</si>
  <si>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</si>
  <si>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</si>
  <si>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</si>
  <si>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</si>
  <si>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</si>
  <si>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</si>
  <si>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</si>
  <si>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</si>
  <si>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</si>
  <si>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</si>
  <si>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</si>
  <si>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</si>
  <si>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</si>
  <si>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</si>
  <si>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</si>
  <si>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</si>
  <si>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</si>
  <si>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</si>
  <si>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</si>
  <si>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</si>
  <si>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</si>
  <si>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</si>
  <si>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</si>
  <si>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</si>
  <si>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</si>
  <si>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</si>
  <si>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</si>
  <si>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</si>
  <si>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</si>
  <si>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</si>
  <si>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</si>
  <si>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</si>
  <si>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</si>
  <si>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</si>
  <si>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</si>
  <si>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</si>
  <si>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</si>
  <si>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</si>
  <si>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</si>
  <si>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</si>
  <si>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</si>
  <si>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</si>
  <si>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</si>
  <si>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</si>
  <si>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</si>
  <si>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</si>
  <si>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</si>
  <si>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</si>
  <si>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</si>
  <si>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</si>
  <si>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</si>
  <si>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</si>
  <si>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</si>
  <si>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</si>
  <si>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</si>
  <si>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</si>
  <si>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</si>
  <si>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</si>
  <si>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</si>
  <si>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</si>
  <si>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</si>
  <si>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</si>
  <si>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</si>
  <si>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</si>
  <si>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</si>
  <si>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</si>
  <si>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</si>
  <si>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</si>
  <si>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</si>
  <si>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</si>
  <si>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</si>
  <si>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</si>
  <si>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</si>
  <si>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</si>
  <si>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</si>
  <si>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</si>
  <si>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</si>
  <si>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</si>
  <si>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</si>
  <si>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</si>
  <si>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</si>
  <si>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</si>
  <si>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</si>
  <si>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</si>
  <si>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</si>
  <si>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</si>
  <si>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</si>
  <si>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</si>
  <si>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</si>
  <si>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</si>
  <si>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</si>
  <si>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</si>
  <si>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</si>
  <si>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</si>
  <si>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</si>
  <si>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</si>
  <si>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</si>
  <si>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</si>
  <si>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</si>
  <si>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</si>
  <si>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</si>
  <si>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</si>
  <si>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</si>
  <si>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</si>
  <si>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</si>
  <si>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</si>
  <si>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</si>
  <si>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</si>
  <si>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</si>
  <si>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</si>
  <si>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</si>
  <si>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</si>
  <si>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</si>
  <si>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</si>
  <si>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</si>
  <si>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</si>
  <si>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</si>
  <si>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</si>
  <si>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</si>
  <si>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</si>
  <si>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</si>
  <si>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</si>
  <si>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</si>
  <si>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</si>
  <si>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</si>
  <si>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</si>
  <si>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</si>
  <si>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</si>
  <si>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</si>
  <si>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</si>
  <si>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</si>
  <si>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</si>
  <si>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</si>
  <si>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</si>
  <si>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</si>
  <si>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</si>
  <si>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</si>
  <si>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</si>
  <si>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</si>
  <si>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</si>
  <si>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</si>
  <si>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</si>
  <si>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</si>
  <si>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</si>
  <si>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</si>
  <si>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</si>
  <si>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</si>
  <si>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</si>
  <si>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</si>
  <si>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</si>
  <si>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</si>
  <si>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</si>
  <si>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</si>
  <si>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</si>
  <si>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</si>
  <si>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</si>
  <si>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</si>
  <si>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</si>
  <si>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</si>
  <si>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</si>
  <si>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</si>
  <si>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</si>
  <si>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</si>
  <si>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</si>
  <si>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</si>
  <si>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</si>
  <si>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</si>
  <si>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</si>
  <si>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</si>
  <si>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</si>
  <si>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</si>
  <si>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</si>
  <si>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</si>
  <si>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</si>
  <si>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</si>
  <si>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</si>
  <si>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</si>
  <si>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</si>
  <si>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</si>
  <si>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</si>
  <si>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</si>
  <si>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</si>
  <si>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</si>
  <si>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</si>
  <si>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</si>
  <si>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</si>
  <si>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</si>
  <si>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</si>
  <si>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</si>
  <si>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</si>
  <si>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</si>
  <si>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</si>
  <si>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</si>
  <si>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</si>
  <si>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</si>
  <si>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</si>
  <si>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</si>
  <si>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</si>
  <si>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</si>
  <si>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</si>
  <si>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</si>
  <si>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</si>
  <si>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</si>
  <si>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</si>
  <si>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</si>
  <si>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</si>
  <si>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</si>
  <si>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</si>
  <si>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</si>
  <si>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</si>
  <si>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</si>
  <si>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</si>
  <si>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</si>
  <si>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</si>
  <si>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</si>
  <si>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</si>
  <si>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</si>
  <si>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</si>
  <si>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</si>
  <si>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</si>
  <si>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</si>
  <si>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</si>
  <si>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</si>
  <si>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</si>
  <si>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</si>
  <si>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</si>
  <si>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</si>
  <si>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</si>
  <si>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</si>
  <si>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</si>
  <si>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</si>
  <si>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</si>
  <si>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</si>
  <si>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</si>
  <si>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</si>
  <si>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</si>
  <si>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</si>
  <si>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</si>
  <si>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</si>
  <si>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</si>
  <si>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</si>
  <si>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</si>
  <si>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</si>
  <si>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</si>
  <si>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</si>
  <si>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</si>
  <si>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</si>
  <si>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</si>
  <si>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</si>
  <si>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</si>
  <si>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</si>
  <si>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</si>
  <si>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</si>
  <si>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</si>
  <si>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</si>
  <si>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</si>
  <si>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</si>
  <si>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</si>
  <si>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</si>
  <si>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</si>
  <si>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</si>
  <si>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</si>
  <si>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</si>
  <si>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</si>
  <si>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</si>
  <si>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</si>
  <si>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</si>
  <si>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</si>
  <si>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</si>
  <si>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</si>
  <si>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</si>
  <si>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</si>
  <si>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</si>
  <si>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</si>
  <si>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</si>
  <si>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</si>
  <si>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</si>
  <si>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</si>
  <si>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</si>
  <si>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</si>
  <si>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</si>
  <si>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</si>
  <si>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</si>
  <si>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</si>
  <si>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</si>
  <si>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</si>
  <si>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</si>
  <si>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</si>
  <si>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</si>
  <si>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</si>
  <si>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</si>
  <si>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</si>
  <si>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</si>
  <si>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</si>
  <si>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</si>
  <si>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</si>
  <si>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</si>
  <si>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</si>
  <si>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</si>
  <si>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</si>
  <si>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</si>
  <si>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</si>
  <si>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</si>
  <si>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</si>
  <si>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</si>
  <si>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</si>
  <si>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</si>
  <si>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</si>
  <si>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</si>
  <si>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</si>
  <si>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</si>
  <si>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</si>
  <si>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</si>
  <si>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</si>
  <si>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</si>
  <si>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</si>
  <si>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</si>
  <si>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</si>
  <si>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</si>
  <si>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</si>
  <si>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</si>
  <si>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</si>
  <si>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</si>
  <si>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</si>
  <si>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</si>
  <si>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</si>
  <si>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</si>
  <si>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</si>
  <si>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</si>
  <si>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</si>
  <si>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</si>
  <si>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</si>
  <si>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</si>
  <si>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</si>
  <si>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</si>
  <si>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</si>
  <si>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</si>
  <si>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</si>
  <si>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</si>
  <si>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</si>
  <si>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</si>
  <si>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</si>
  <si>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</si>
  <si>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</si>
  <si>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</si>
  <si>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</si>
  <si>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</si>
  <si>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</si>
  <si>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</si>
  <si>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</si>
  <si>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</si>
  <si>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</si>
  <si>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</si>
  <si>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</si>
  <si>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</si>
  <si>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</si>
  <si>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</si>
  <si>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</si>
  <si>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</si>
  <si>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</si>
  <si>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</si>
  <si>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</si>
  <si>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</si>
  <si>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</si>
  <si>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</si>
  <si>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</si>
  <si>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</si>
  <si>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</si>
  <si>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</si>
  <si>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</si>
  <si>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</si>
  <si>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</si>
  <si>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</si>
  <si>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</si>
  <si>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</si>
  <si>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</si>
  <si>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</si>
  <si>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</si>
  <si>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</si>
  <si>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</si>
  <si>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</si>
  <si>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</si>
  <si>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</si>
  <si>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</si>
  <si>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</si>
  <si>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</si>
  <si>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</si>
  <si>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</si>
  <si>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</si>
  <si>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</si>
  <si>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</si>
  <si>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</si>
  <si>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</si>
  <si>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</si>
  <si>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</si>
  <si>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</si>
  <si>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</si>
  <si>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</si>
  <si>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</si>
  <si>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</si>
  <si>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</si>
  <si>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</si>
  <si>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</si>
  <si>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</si>
  <si>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</si>
  <si>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</si>
  <si>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</si>
  <si>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</si>
  <si>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</si>
  <si>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</si>
  <si>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</si>
  <si>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</si>
  <si>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</si>
  <si>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</si>
  <si>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</si>
  <si>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</si>
  <si>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</si>
  <si>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</si>
  <si>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</si>
  <si>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</si>
  <si>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</si>
  <si>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</si>
  <si>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</si>
  <si>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</si>
  <si>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</si>
  <si>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</si>
  <si>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</si>
  <si>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</si>
  <si>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</si>
  <si>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</si>
  <si>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</si>
  <si>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</si>
  <si>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</si>
  <si>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</si>
  <si>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</si>
  <si>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</si>
  <si>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</si>
  <si>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</si>
  <si>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</si>
  <si>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</si>
  <si>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</si>
  <si>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</si>
  <si>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</si>
  <si>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</si>
  <si>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</si>
  <si>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</si>
  <si>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</si>
  <si>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</si>
  <si>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</si>
  <si>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</si>
  <si>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</si>
  <si>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</si>
  <si>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</si>
  <si>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</si>
  <si>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</si>
  <si>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</si>
  <si>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</si>
  <si>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</si>
  <si>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</si>
  <si>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</si>
  <si>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</si>
  <si>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</si>
  <si>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</si>
  <si>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</si>
  <si>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</si>
  <si>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</si>
  <si>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</si>
  <si>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</si>
  <si>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</si>
  <si>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</si>
  <si>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</si>
  <si>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</si>
  <si>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</si>
  <si>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</si>
  <si>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</si>
  <si>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</si>
  <si>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</si>
  <si>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</si>
  <si>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</si>
  <si>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</si>
  <si>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</si>
  <si>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</si>
  <si>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</si>
  <si>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</si>
  <si>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</si>
  <si>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</si>
  <si>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</si>
  <si>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</si>
  <si>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</si>
  <si>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</si>
  <si>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</si>
  <si>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</si>
  <si>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</si>
  <si>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</si>
  <si>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</si>
  <si>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</si>
  <si>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</si>
  <si>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</si>
  <si>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</si>
  <si>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</si>
  <si>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</si>
  <si>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</si>
  <si>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</si>
  <si>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</si>
  <si>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</si>
  <si>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</si>
  <si>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</si>
  <si>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</si>
  <si>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</si>
  <si>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</si>
  <si>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</si>
  <si>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</si>
  <si>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</si>
  <si>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</si>
  <si>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</si>
  <si>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</si>
  <si>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</si>
  <si>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</si>
  <si>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</si>
  <si>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</si>
  <si>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</si>
  <si>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</si>
  <si>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</si>
  <si>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</si>
  <si>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</si>
  <si>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</si>
  <si>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</si>
  <si>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</si>
  <si>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</si>
  <si>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</si>
  <si>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</si>
  <si>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</si>
  <si>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</si>
  <si>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</si>
  <si>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</si>
  <si>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</si>
  <si>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</si>
  <si>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</si>
  <si>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</si>
  <si>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</si>
  <si>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</si>
  <si>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</si>
  <si>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</si>
  <si>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</si>
  <si>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</si>
  <si>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</si>
  <si>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</si>
  <si>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</si>
  <si>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</si>
  <si>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</si>
  <si>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</si>
  <si>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</si>
  <si>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</si>
  <si>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</si>
  <si>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</si>
  <si>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</si>
  <si>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</si>
  <si>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</si>
  <si>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</si>
  <si>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</si>
  <si>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</si>
  <si>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</si>
  <si>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</si>
  <si>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</si>
  <si>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</si>
  <si>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</si>
  <si>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</si>
  <si>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</si>
  <si>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</si>
  <si>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</si>
  <si>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</si>
  <si>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</si>
  <si>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</si>
  <si>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</si>
  <si>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</si>
  <si>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</si>
  <si>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</si>
  <si>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</si>
  <si>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</si>
  <si>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</si>
  <si>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</si>
  <si>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</si>
  <si>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</si>
  <si>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</si>
  <si>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</si>
  <si>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</si>
  <si>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</si>
  <si>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</si>
  <si>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</si>
  <si>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</si>
  <si>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</si>
  <si>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</si>
  <si>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</si>
  <si>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</si>
  <si>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</si>
  <si>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</si>
  <si>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</si>
  <si>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</si>
  <si>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</si>
  <si>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</si>
  <si>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</si>
  <si>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</si>
  <si>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</si>
  <si>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</si>
  <si>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</si>
  <si>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</si>
  <si>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</si>
  <si>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</si>
  <si>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</si>
  <si>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</si>
  <si>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</si>
  <si>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</si>
  <si>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</si>
  <si>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</si>
  <si>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</si>
  <si>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</si>
  <si>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</si>
  <si>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</si>
  <si>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</si>
  <si>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</si>
  <si>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</si>
  <si>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</si>
  <si>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</si>
  <si>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</si>
  <si>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</si>
  <si>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</si>
  <si>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</si>
  <si>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</si>
  <si>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</si>
  <si>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</si>
  <si>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</si>
  <si>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</si>
  <si>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</si>
  <si>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</si>
  <si>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</si>
  <si>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</si>
  <si>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</si>
  <si>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</si>
  <si>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</si>
  <si>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</si>
  <si>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</si>
  <si>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</si>
  <si>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</si>
  <si>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</si>
  <si>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</si>
  <si>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</si>
  <si>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</si>
  <si>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</si>
  <si>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</si>
  <si>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</si>
  <si>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</si>
  <si>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</si>
  <si>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</si>
  <si>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</si>
  <si>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</si>
  <si>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</si>
  <si>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</si>
  <si>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</si>
  <si>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</si>
  <si>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</si>
  <si>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</si>
  <si>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</si>
  <si>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</si>
  <si>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</si>
  <si>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</si>
  <si>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</si>
  <si>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</si>
  <si>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</si>
  <si>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</si>
  <si>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</si>
  <si>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</si>
  <si>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</si>
  <si>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</si>
  <si>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</si>
  <si>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</si>
  <si>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</si>
  <si>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</si>
  <si>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</si>
  <si>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</si>
  <si>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</si>
  <si>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</si>
  <si>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</si>
  <si>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</si>
  <si>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</si>
  <si>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</si>
  <si>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</si>
  <si>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</si>
  <si>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</si>
  <si>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</si>
  <si>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</si>
  <si>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</si>
  <si>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</si>
  <si>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</si>
  <si>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</si>
  <si>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</si>
  <si>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</si>
  <si>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</si>
  <si>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</si>
  <si>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</si>
  <si>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</si>
  <si>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</si>
  <si>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</si>
  <si>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</si>
  <si>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</si>
  <si>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</si>
  <si>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</si>
  <si>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</si>
  <si>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</si>
  <si>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</si>
  <si>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</si>
  <si>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</si>
  <si>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</si>
  <si>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</si>
  <si>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</si>
  <si>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</si>
  <si>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</si>
  <si>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</si>
  <si>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</si>
  <si>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</si>
  <si>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</si>
  <si>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</si>
  <si>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</si>
  <si>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</si>
  <si>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</si>
  <si>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</si>
  <si>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</si>
  <si>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</si>
  <si>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</si>
  <si>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</si>
  <si>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</si>
  <si>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</si>
  <si>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</si>
  <si>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</si>
  <si>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</si>
  <si>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</si>
  <si>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</si>
  <si>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</si>
  <si>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</si>
  <si>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</si>
  <si>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</si>
  <si>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</si>
  <si>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</si>
  <si>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</si>
  <si>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</si>
  <si>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</si>
  <si>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</si>
  <si>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</si>
  <si>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</si>
  <si>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</si>
  <si>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</si>
  <si>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</si>
  <si>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</si>
  <si>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</si>
  <si>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</si>
  <si>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</si>
  <si>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</si>
  <si>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</si>
  <si>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</si>
  <si>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</si>
  <si>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</si>
  <si>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</si>
  <si>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</si>
  <si>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</si>
  <si>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</si>
  <si>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</si>
  <si>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</si>
  <si>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</si>
  <si>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</si>
  <si>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</si>
  <si>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</si>
  <si>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</si>
  <si>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</si>
  <si>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</si>
  <si>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</si>
  <si>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</si>
  <si>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</si>
  <si>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</si>
  <si>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</si>
  <si>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</si>
  <si>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</si>
  <si>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</si>
  <si>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</si>
  <si>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</si>
  <si>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</si>
  <si>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</si>
  <si>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</si>
  <si>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</si>
  <si>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</si>
  <si>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</si>
  <si>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</si>
  <si>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</si>
  <si>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</si>
  <si>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</si>
  <si>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</si>
  <si>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</si>
  <si>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</si>
  <si>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</si>
  <si>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</si>
  <si>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</si>
  <si>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</si>
  <si>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</si>
  <si>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</si>
  <si>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</si>
  <si>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</si>
  <si>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</si>
  <si>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</si>
  <si>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</si>
  <si>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</si>
  <si>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</si>
  <si>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</si>
  <si>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</si>
  <si>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</si>
  <si>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</si>
  <si>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</si>
  <si>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</si>
  <si>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</si>
  <si>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</si>
  <si>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</si>
  <si>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</si>
  <si>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</si>
  <si>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</si>
  <si>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</si>
  <si>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</si>
  <si>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</si>
  <si>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</si>
  <si>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</si>
  <si>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</si>
  <si>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</si>
  <si>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</si>
  <si>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</si>
  <si>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</si>
  <si>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</si>
  <si>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</si>
  <si>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</si>
  <si>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</si>
  <si>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</si>
  <si>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</si>
  <si>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</si>
  <si>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</si>
  <si>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</si>
  <si>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</si>
  <si>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</si>
  <si>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</si>
  <si>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</si>
  <si>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</si>
  <si>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</si>
  <si>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</si>
  <si>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</si>
  <si>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</si>
  <si>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</si>
  <si>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</si>
  <si>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</si>
  <si>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</si>
  <si>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</si>
  <si>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</si>
  <si>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</si>
  <si>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</si>
  <si>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</si>
  <si>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</si>
  <si>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</si>
  <si>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</si>
  <si>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</si>
  <si>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</si>
  <si>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</si>
  <si>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</si>
  <si>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</si>
  <si>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</si>
  <si>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</si>
  <si>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</si>
  <si>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</si>
  <si>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</si>
  <si>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</si>
  <si>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</si>
  <si>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</si>
  <si>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</si>
  <si>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</si>
  <si>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</si>
  <si>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</si>
  <si>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</si>
  <si>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</si>
  <si>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</si>
  <si>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</si>
  <si>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</si>
  <si>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</si>
  <si>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</si>
  <si>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</si>
  <si>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</si>
  <si>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</si>
  <si>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</si>
  <si>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</si>
  <si>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</si>
  <si>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</si>
  <si>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</si>
  <si>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</si>
  <si>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</si>
  <si>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</si>
  <si>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</si>
  <si>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</si>
  <si>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</si>
  <si>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</si>
  <si>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</si>
  <si>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</si>
  <si>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</si>
  <si>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</si>
  <si>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</si>
  <si>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</si>
  <si>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</si>
  <si>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</si>
  <si>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</si>
  <si>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</si>
  <si>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</si>
  <si>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</si>
  <si>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</si>
  <si>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</si>
  <si>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</si>
  <si>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</si>
  <si>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</si>
  <si>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</si>
  <si>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</si>
  <si>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</si>
  <si>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</si>
  <si>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</si>
  <si>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</si>
  <si>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</si>
  <si>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</si>
  <si>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</si>
  <si>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</si>
  <si>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</si>
  <si>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</si>
  <si>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</si>
  <si>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</si>
  <si>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</si>
  <si>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</si>
  <si>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</si>
  <si>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</si>
  <si>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</si>
  <si>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</si>
  <si>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</si>
  <si>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</si>
  <si>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</si>
  <si>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</si>
  <si>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</si>
  <si>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</si>
  <si>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</si>
  <si>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</si>
  <si>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</si>
  <si>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</si>
  <si>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</si>
  <si>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</si>
  <si>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</si>
  <si>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</si>
  <si>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</si>
  <si>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</si>
  <si>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</si>
  <si>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</si>
  <si>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</si>
  <si>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</si>
  <si>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</si>
  <si>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</si>
  <si>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</si>
  <si>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</si>
  <si>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</si>
  <si>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</si>
  <si>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</si>
  <si>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</si>
  <si>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</si>
  <si>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</si>
  <si>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</si>
  <si>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</si>
  <si>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</si>
  <si>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</si>
  <si>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</si>
  <si>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</si>
  <si>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</si>
  <si>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</si>
  <si>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</si>
  <si>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</si>
  <si>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</si>
  <si>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</si>
  <si>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</si>
  <si>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</si>
  <si>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</si>
  <si>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</si>
  <si>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</si>
  <si>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</si>
  <si>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</si>
  <si>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</si>
  <si>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</si>
  <si>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</si>
  <si>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</si>
  <si>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</si>
  <si>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</si>
  <si>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</si>
  <si>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</si>
  <si>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</si>
  <si>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</si>
  <si>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</si>
  <si>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</si>
  <si>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</si>
  <si>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</si>
  <si>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</si>
  <si>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</si>
  <si>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</si>
  <si>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</si>
  <si>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</si>
  <si>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</si>
  <si>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</si>
  <si>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</si>
  <si>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</si>
  <si>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</si>
  <si>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</si>
  <si>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</si>
  <si>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</si>
  <si>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</si>
  <si>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</si>
  <si>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</si>
  <si>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</si>
  <si>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</si>
  <si>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</si>
  <si>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</si>
  <si>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</si>
  <si>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</si>
  <si>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</si>
  <si>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</si>
  <si>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</si>
  <si>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</si>
  <si>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</si>
  <si>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</si>
  <si>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</si>
  <si>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</si>
  <si>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</si>
  <si>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</si>
  <si>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</si>
  <si>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</si>
  <si>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</si>
  <si>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</si>
  <si>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</si>
  <si>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</si>
  <si>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</si>
  <si>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</si>
  <si>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</si>
  <si>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</si>
  <si>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</si>
  <si>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</si>
  <si>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</si>
  <si>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</si>
  <si>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</si>
  <si>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</si>
  <si>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</si>
  <si>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</si>
  <si>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</si>
  <si>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</si>
  <si>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</si>
  <si>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</si>
  <si>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</si>
  <si>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</si>
  <si>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</si>
  <si>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</si>
  <si>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</si>
  <si>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</si>
  <si>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</si>
  <si>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</si>
  <si>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</si>
  <si>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</si>
  <si>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</si>
  <si>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</si>
  <si>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</si>
  <si>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</si>
  <si>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</si>
  <si>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</si>
  <si>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</si>
  <si>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</si>
  <si>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</si>
  <si>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</si>
  <si>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</si>
  <si>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</si>
  <si>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</si>
  <si>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</si>
  <si>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</si>
  <si>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</si>
  <si>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</si>
  <si>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</si>
  <si>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</si>
  <si>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</si>
  <si>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</si>
  <si>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</si>
  <si>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</si>
  <si>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</si>
  <si>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</si>
  <si>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</si>
  <si>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</si>
  <si>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</si>
  <si>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</si>
  <si>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</si>
  <si>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</si>
  <si>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</si>
  <si>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</si>
  <si>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</si>
  <si>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</si>
  <si>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</si>
  <si>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</si>
  <si>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</si>
  <si>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</si>
  <si>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</si>
  <si>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</si>
  <si>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</si>
  <si>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</si>
  <si>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</si>
  <si>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</si>
  <si>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</si>
  <si>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</si>
  <si>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</si>
  <si>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</si>
  <si>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</si>
  <si>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</si>
  <si>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</si>
  <si>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</si>
  <si>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</si>
  <si>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</si>
  <si>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</si>
  <si>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</si>
  <si>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</si>
  <si>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</si>
  <si>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</si>
  <si>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</si>
  <si>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</si>
  <si>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</si>
  <si>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</si>
  <si>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</si>
  <si>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</si>
  <si>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</si>
  <si>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</si>
  <si>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</si>
  <si>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</si>
  <si>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</si>
  <si>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</si>
  <si>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</si>
  <si>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</si>
  <si>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</si>
  <si>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</si>
  <si>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</si>
  <si>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</si>
  <si>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</si>
  <si>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</si>
  <si>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</si>
  <si>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</si>
  <si>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</si>
  <si>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</si>
  <si>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</si>
  <si>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</si>
  <si>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</si>
  <si>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</si>
  <si>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</si>
  <si>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</si>
  <si>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</si>
  <si>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</si>
  <si>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</si>
  <si>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</si>
  <si>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</si>
  <si>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</si>
  <si>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</si>
  <si>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</si>
  <si>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</si>
  <si>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</si>
  <si>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</si>
  <si>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</si>
  <si>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</si>
  <si>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</si>
  <si>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</si>
  <si>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</si>
  <si>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</si>
  <si>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</si>
  <si>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</si>
  <si>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</si>
  <si>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</si>
  <si>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</si>
  <si>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</si>
  <si>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</si>
  <si>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</si>
  <si>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</si>
  <si>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</si>
  <si>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</si>
  <si>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</si>
  <si>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</si>
  <si>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</si>
  <si>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</si>
  <si>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</si>
  <si>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</si>
  <si>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</si>
  <si>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</si>
  <si>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</si>
  <si>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</si>
  <si>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</si>
  <si>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</si>
  <si>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</si>
  <si>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</si>
  <si>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</si>
  <si>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</si>
  <si>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</si>
  <si>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</si>
  <si>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</si>
  <si>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</si>
  <si>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</si>
  <si>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</si>
  <si>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</si>
  <si>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</si>
  <si>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</si>
  <si>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</si>
  <si>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</si>
  <si>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</si>
  <si>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</si>
  <si>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</si>
  <si>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</si>
  <si>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</si>
  <si>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</si>
  <si>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</si>
  <si>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</si>
  <si>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</si>
  <si>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</si>
  <si>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</si>
  <si>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</si>
  <si>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</si>
  <si>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</si>
  <si>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</si>
  <si>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</si>
  <si>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</si>
  <si>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</si>
  <si>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</si>
  <si>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</si>
  <si>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</si>
  <si>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</si>
  <si>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</si>
  <si>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</si>
  <si>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</si>
  <si>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</si>
  <si>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</si>
  <si>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</si>
  <si>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</si>
  <si>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</si>
  <si>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</si>
  <si>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</si>
  <si>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</si>
  <si>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</si>
  <si>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</si>
  <si>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</si>
  <si>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</si>
  <si>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</si>
  <si>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</si>
  <si>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</si>
  <si>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</si>
  <si>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</si>
  <si>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</si>
  <si>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</si>
  <si>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</si>
  <si>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</si>
  <si>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</si>
  <si>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</si>
  <si>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</si>
  <si>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</si>
  <si>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</si>
  <si>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</si>
  <si>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</si>
  <si>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</si>
  <si>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</si>
  <si>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</si>
  <si>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</si>
  <si>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</si>
  <si>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</si>
  <si>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</si>
  <si>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</si>
  <si>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</si>
  <si>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</si>
  <si>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</si>
  <si>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</si>
  <si>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</si>
  <si>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</si>
  <si>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</si>
  <si>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</si>
  <si>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</si>
  <si>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</si>
  <si>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</si>
  <si>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</si>
  <si>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</si>
  <si>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</si>
  <si>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</si>
  <si>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</si>
  <si>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</si>
  <si>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</si>
  <si>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</si>
  <si>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</si>
  <si>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</si>
  <si>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</si>
  <si>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</si>
  <si>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</si>
  <si>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</si>
  <si>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</si>
  <si>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</si>
  <si>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</si>
  <si>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</si>
  <si>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</si>
  <si>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</si>
  <si>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</si>
  <si>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</si>
  <si>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</si>
  <si>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</si>
  <si>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</si>
  <si>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</si>
  <si>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</si>
  <si>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</si>
  <si>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</si>
  <si>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</si>
  <si>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</si>
  <si>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</si>
  <si>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</si>
  <si>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</si>
  <si>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</si>
  <si>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</si>
  <si>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</si>
  <si>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</si>
  <si>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</si>
  <si>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</si>
  <si>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</si>
  <si>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</si>
  <si>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</si>
  <si>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</si>
  <si>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</si>
  <si>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</si>
  <si>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</si>
  <si>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</si>
  <si>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</si>
  <si>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</si>
  <si>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</si>
  <si>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</si>
  <si>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</si>
  <si>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</si>
  <si>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</si>
  <si>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</si>
  <si>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</si>
  <si>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</si>
  <si>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</si>
  <si>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</si>
  <si>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</si>
  <si>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</si>
  <si>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</si>
  <si>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</si>
  <si>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</si>
  <si>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</si>
  <si>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</si>
  <si>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</si>
  <si>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</si>
  <si>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</si>
  <si>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</si>
  <si>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</si>
  <si>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</si>
  <si>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</si>
  <si>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</si>
  <si>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</si>
  <si>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</si>
  <si>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</si>
  <si>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</si>
  <si>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</si>
  <si>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</si>
  <si>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</si>
  <si>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</si>
  <si>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</si>
  <si>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</si>
  <si>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</si>
  <si>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</si>
  <si>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</si>
  <si>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</si>
  <si>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</si>
  <si>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</si>
  <si>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</si>
  <si>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</si>
  <si>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</si>
  <si>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</si>
  <si>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</si>
  <si>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</si>
  <si>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</si>
  <si>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</si>
  <si>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</si>
  <si>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</si>
  <si>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</si>
  <si>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</si>
  <si>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</si>
  <si>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</si>
  <si>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</si>
  <si>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</si>
  <si>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</si>
  <si>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</si>
  <si>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</si>
  <si>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</si>
  <si>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</si>
  <si>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</si>
  <si>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</si>
  <si>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</si>
  <si>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</si>
  <si>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</si>
  <si>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</si>
  <si>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</si>
  <si>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</si>
  <si>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</si>
  <si>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</si>
  <si>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</si>
  <si>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</si>
  <si>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</si>
  <si>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</si>
  <si>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</si>
  <si>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</si>
  <si>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</si>
  <si>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</si>
  <si>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</si>
  <si>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</si>
  <si>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</si>
  <si>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</si>
  <si>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</si>
  <si>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</si>
  <si>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</si>
  <si>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</si>
  <si>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</si>
  <si>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</si>
  <si>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</si>
  <si>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</si>
  <si>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</si>
  <si>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</si>
  <si>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</si>
  <si>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</si>
  <si>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</si>
  <si>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</si>
  <si>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</si>
  <si>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</si>
  <si>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</si>
  <si>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</si>
  <si>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</si>
  <si>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</si>
  <si>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</si>
  <si>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</si>
  <si>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</si>
  <si>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</si>
  <si>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</si>
  <si>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</si>
  <si>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</si>
  <si>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</si>
  <si>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</si>
  <si>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</si>
  <si>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</si>
  <si>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</si>
  <si>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</si>
  <si>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</si>
  <si>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</si>
  <si>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</si>
  <si>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</si>
  <si>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</si>
  <si>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</si>
  <si>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</si>
  <si>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</si>
  <si>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</si>
  <si>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</si>
  <si>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</si>
  <si>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</si>
  <si>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</si>
  <si>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</si>
  <si>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</si>
  <si>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</si>
  <si>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</si>
  <si>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</si>
  <si>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</si>
  <si>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</si>
  <si>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</si>
  <si>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</si>
  <si>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</si>
  <si>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</si>
  <si>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</si>
  <si>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</si>
  <si>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</si>
  <si>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</si>
  <si>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</si>
  <si>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</si>
  <si>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</si>
  <si>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</si>
  <si>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</si>
  <si>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</si>
  <si>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</si>
  <si>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</si>
  <si>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</si>
  <si>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</si>
  <si>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</si>
  <si>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</si>
  <si>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</si>
  <si>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</si>
  <si>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</si>
  <si>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</si>
  <si>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</si>
  <si>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</si>
  <si>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</si>
  <si>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</si>
  <si>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</si>
  <si>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</si>
  <si>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</si>
  <si>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</si>
  <si>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</si>
  <si>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</si>
  <si>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</si>
  <si>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</si>
  <si>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</si>
  <si>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</si>
  <si>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</si>
  <si>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</si>
  <si>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</si>
  <si>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</si>
  <si>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</si>
  <si>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</si>
  <si>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</si>
  <si>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</si>
  <si>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</si>
  <si>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</si>
  <si>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</si>
  <si>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</si>
  <si>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</si>
  <si>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</si>
  <si>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</si>
  <si>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</si>
  <si>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</si>
  <si>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</si>
  <si>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</si>
  <si>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</si>
  <si>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</si>
  <si>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</si>
  <si>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</si>
  <si>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</si>
  <si>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</si>
  <si>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</si>
  <si>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</si>
  <si>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</si>
  <si>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</si>
  <si>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</si>
  <si>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</si>
  <si>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</si>
  <si>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</si>
  <si>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</si>
  <si>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</si>
  <si>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</si>
  <si>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</si>
  <si>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</si>
  <si>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</si>
  <si>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</si>
  <si>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</si>
  <si>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</si>
  <si>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</si>
  <si>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</si>
  <si>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</si>
  <si>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</si>
  <si>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</si>
  <si>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</si>
  <si>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</si>
  <si>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</si>
  <si>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</si>
  <si>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</si>
  <si>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</si>
  <si>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</si>
  <si>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</si>
  <si>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</si>
  <si>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</si>
  <si>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</si>
  <si>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</si>
  <si>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</si>
  <si>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</si>
  <si>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</si>
  <si>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</si>
  <si>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</si>
  <si>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</si>
  <si>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</si>
  <si>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</si>
  <si>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</si>
  <si>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</si>
  <si>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</si>
  <si>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</si>
  <si>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</si>
  <si>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</si>
  <si>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</si>
  <si>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</si>
  <si>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</si>
  <si>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</si>
  <si>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</si>
  <si>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</si>
  <si>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</si>
  <si>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</si>
  <si>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</si>
  <si>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</si>
  <si>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</si>
  <si>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</si>
  <si>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</si>
  <si>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</si>
  <si>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</si>
  <si>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</si>
  <si>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</si>
  <si>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</si>
  <si>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</si>
  <si>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</si>
  <si>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</si>
  <si>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</si>
  <si>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</si>
  <si>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</si>
  <si>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</si>
  <si>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</si>
  <si>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</si>
  <si>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</si>
  <si>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</si>
  <si>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</si>
  <si>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</si>
  <si>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</si>
  <si>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</si>
  <si>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</si>
  <si>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</si>
  <si>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</si>
  <si>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</si>
  <si>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</si>
  <si>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</si>
  <si>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</si>
  <si>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</si>
  <si>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</si>
  <si>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</si>
  <si>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</si>
  <si>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</si>
  <si>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</si>
  <si>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</si>
  <si>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</si>
  <si>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</si>
  <si>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</si>
  <si>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</si>
  <si>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</si>
  <si>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</si>
  <si>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</si>
  <si>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</si>
  <si>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</si>
  <si>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</si>
  <si>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</si>
  <si>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</si>
  <si>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</si>
  <si>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</si>
  <si>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</si>
  <si>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</si>
  <si>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</si>
  <si>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</si>
  <si>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</si>
  <si>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</si>
  <si>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</si>
  <si>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</si>
  <si>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</si>
  <si>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</si>
  <si>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</si>
  <si>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</si>
  <si>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</si>
  <si>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</si>
  <si>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</si>
  <si>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</si>
  <si>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</si>
  <si>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</si>
  <si>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</si>
  <si>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</si>
  <si>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</si>
  <si>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</si>
  <si>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</si>
  <si>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</si>
  <si>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</si>
  <si>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</si>
  <si>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</si>
  <si>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</si>
  <si>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</si>
  <si>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</si>
  <si>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</si>
  <si>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</si>
  <si>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</si>
  <si>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</si>
  <si>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</si>
  <si>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</si>
  <si>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</si>
  <si>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</si>
  <si>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</si>
  <si>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</si>
  <si>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</si>
  <si>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</si>
  <si>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</si>
  <si>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</si>
  <si>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</si>
  <si>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</si>
  <si>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</si>
  <si>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</si>
  <si>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</si>
  <si>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</si>
  <si>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</si>
  <si>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</si>
  <si>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</si>
  <si>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</si>
  <si>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</si>
  <si>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</si>
  <si>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</si>
  <si>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</si>
  <si>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</si>
  <si>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</si>
  <si>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</si>
  <si>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</si>
  <si>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</si>
  <si>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</si>
  <si>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</si>
  <si>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</si>
  <si>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</si>
  <si>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</si>
  <si>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</si>
  <si>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</si>
  <si>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</si>
  <si>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</si>
  <si>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</si>
  <si>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</si>
  <si>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</si>
  <si>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</si>
  <si>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</si>
  <si>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</si>
  <si>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</si>
  <si>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</si>
  <si>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</si>
  <si>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</si>
  <si>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</si>
  <si>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</si>
  <si>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</si>
  <si>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</si>
  <si>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</si>
  <si>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</si>
  <si>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</si>
  <si>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</si>
  <si>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</si>
  <si>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</si>
  <si>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</si>
  <si>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</si>
  <si>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</si>
  <si>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</si>
  <si>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</si>
  <si>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</si>
  <si>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</si>
  <si>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</si>
  <si>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</si>
  <si>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</si>
  <si>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</si>
  <si>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</si>
  <si>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</si>
  <si>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</si>
  <si>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</si>
  <si>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</si>
  <si>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</si>
  <si>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</si>
  <si>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</si>
  <si>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</si>
  <si>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</si>
  <si>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</si>
  <si>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</si>
  <si>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</si>
  <si>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</si>
  <si>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</si>
  <si>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</si>
  <si>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</si>
  <si>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</si>
  <si>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</si>
  <si>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</si>
  <si>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</si>
  <si>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</si>
  <si>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</si>
  <si>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</si>
  <si>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</si>
  <si>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</si>
  <si>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</si>
  <si>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</si>
  <si>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</si>
  <si>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</si>
  <si>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</si>
  <si>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</si>
  <si>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</si>
  <si>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</si>
  <si>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</si>
  <si>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</si>
  <si>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</si>
  <si>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</si>
  <si>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</si>
  <si>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</si>
  <si>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</si>
  <si>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</si>
  <si>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</si>
  <si>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</si>
  <si>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</si>
  <si>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</si>
  <si>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</si>
  <si>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</si>
  <si>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</si>
  <si>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</si>
  <si>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</si>
  <si>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</si>
  <si>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</si>
  <si>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</si>
  <si>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</si>
  <si>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</si>
  <si>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</si>
  <si>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</si>
  <si>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</si>
  <si>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</si>
  <si>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</si>
  <si>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</si>
  <si>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</si>
  <si>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</si>
  <si>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</si>
  <si>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</si>
  <si>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</si>
  <si>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</si>
  <si>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</si>
  <si>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</si>
  <si>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</si>
  <si>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</si>
  <si>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</si>
  <si>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</si>
  <si>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</si>
  <si>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</si>
  <si>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</si>
  <si>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</si>
  <si>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</si>
  <si>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</si>
  <si>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</si>
  <si>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</si>
  <si>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</si>
  <si>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</si>
  <si>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</si>
  <si>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</si>
  <si>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</si>
  <si>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</si>
  <si>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</si>
  <si>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</si>
  <si>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</si>
  <si>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</si>
  <si>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</si>
  <si>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</si>
  <si>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</si>
  <si>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</si>
  <si>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</si>
  <si>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</si>
  <si>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</si>
  <si>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</si>
  <si>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</si>
  <si>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</si>
  <si>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</si>
  <si>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</si>
  <si>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</si>
  <si>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</si>
  <si>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</si>
  <si>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</si>
  <si>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</si>
  <si>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</si>
  <si>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</si>
  <si>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</si>
  <si>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</si>
  <si>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</si>
  <si>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</si>
  <si>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</si>
  <si>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</si>
  <si>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</si>
  <si>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</si>
  <si>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</si>
  <si>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</si>
  <si>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</si>
  <si>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</si>
  <si>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</si>
  <si>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</si>
  <si>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</si>
  <si>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</si>
  <si>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</si>
  <si>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</si>
  <si>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</si>
  <si>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</si>
  <si>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</si>
  <si>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</si>
  <si>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</si>
  <si>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</si>
  <si>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</si>
  <si>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</si>
  <si>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</si>
  <si>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</si>
  <si>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</si>
  <si>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</si>
  <si>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</si>
  <si>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</si>
  <si>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</si>
  <si>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</si>
  <si>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</si>
  <si>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</si>
  <si>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</si>
  <si>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</si>
  <si>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</si>
  <si>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</si>
  <si>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</si>
  <si>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</si>
  <si>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</si>
  <si>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</si>
  <si>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</si>
  <si>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</si>
  <si>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</si>
  <si>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</si>
  <si>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</si>
  <si>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</si>
  <si>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</si>
  <si>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</si>
  <si>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</si>
  <si>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</si>
  <si>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</si>
  <si>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</si>
  <si>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</si>
  <si>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</si>
  <si>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</si>
  <si>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</si>
  <si>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</si>
  <si>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</si>
  <si>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</si>
  <si>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</si>
  <si>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</si>
  <si>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</si>
  <si>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</si>
  <si>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</si>
  <si>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</si>
  <si>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</si>
  <si>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</si>
  <si>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</si>
  <si>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</si>
  <si>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</si>
  <si>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</si>
  <si>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</si>
  <si>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</si>
  <si>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</si>
  <si>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</si>
  <si>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</si>
  <si>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</si>
  <si>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</si>
  <si>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</si>
  <si>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</si>
  <si>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</si>
  <si>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</si>
  <si>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</si>
  <si>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</si>
  <si>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</si>
  <si>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</si>
  <si>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</si>
  <si>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</si>
  <si>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</si>
  <si>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</si>
  <si>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</si>
  <si>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</si>
  <si>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</si>
  <si>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</si>
  <si>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</si>
  <si>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</si>
  <si>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</si>
  <si>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</si>
  <si>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</si>
  <si>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</si>
  <si>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</si>
  <si>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</si>
  <si>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</si>
  <si>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</si>
  <si>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</si>
  <si>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</si>
  <si>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</si>
  <si>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</si>
  <si>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</si>
  <si>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</si>
  <si>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</si>
  <si>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</si>
  <si>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</si>
  <si>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</si>
  <si>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</si>
  <si>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</si>
  <si>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</si>
  <si>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</si>
  <si>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</si>
  <si>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</si>
  <si>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</si>
  <si>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</si>
  <si>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</si>
  <si>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</si>
  <si>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</si>
  <si>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</si>
  <si>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</si>
  <si>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</si>
  <si>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</si>
  <si>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</si>
  <si>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</si>
  <si>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</si>
  <si>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</si>
  <si>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</si>
  <si>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</si>
  <si>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</si>
  <si>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</si>
  <si>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</si>
  <si>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</si>
  <si>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</si>
  <si>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</si>
  <si>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</si>
  <si>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</si>
  <si>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</si>
  <si>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</si>
  <si>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</si>
  <si>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</si>
  <si>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</si>
  <si>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</si>
  <si>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</si>
  <si>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</si>
  <si>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</si>
  <si>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</si>
  <si>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</si>
  <si>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</si>
  <si>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</si>
  <si>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</si>
  <si>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</si>
  <si>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</si>
  <si>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</si>
  <si>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</si>
  <si>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</si>
  <si>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</si>
  <si>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</si>
  <si>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</si>
  <si>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</si>
  <si>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</si>
  <si>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</si>
  <si>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</si>
  <si>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</si>
  <si>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</si>
  <si>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</si>
  <si>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</si>
  <si>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</si>
  <si>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</si>
  <si>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</si>
  <si>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</si>
  <si>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</si>
  <si>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</si>
  <si>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</si>
  <si>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</si>
  <si>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</si>
  <si>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</si>
  <si>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</si>
  <si>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</si>
  <si>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</si>
  <si>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</si>
  <si>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</si>
  <si>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</si>
  <si>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</si>
  <si>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</si>
  <si>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</si>
  <si>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</si>
  <si>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</si>
  <si>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</si>
  <si>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</si>
  <si>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</si>
  <si>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</si>
  <si>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</si>
  <si>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</si>
  <si>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</si>
  <si>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</si>
  <si>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</si>
  <si>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</si>
  <si>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</si>
  <si>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</si>
  <si>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</si>
  <si>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</si>
  <si>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</si>
  <si>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</si>
  <si>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</si>
  <si>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</si>
  <si>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</si>
  <si>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</si>
  <si>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</si>
  <si>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</si>
  <si>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</si>
  <si>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</si>
  <si>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</si>
  <si>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</si>
  <si>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</si>
  <si>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</si>
  <si>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</si>
  <si>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</si>
  <si>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</si>
  <si>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</si>
  <si>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</si>
  <si>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</si>
  <si>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</si>
  <si>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</si>
  <si>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</si>
  <si>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</si>
  <si>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</si>
  <si>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</si>
  <si>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</si>
  <si>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</si>
  <si>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</si>
  <si>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</si>
  <si>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</si>
  <si>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</si>
  <si>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</si>
  <si>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</si>
  <si>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</si>
  <si>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</si>
  <si>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</si>
  <si>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</si>
  <si>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</si>
  <si>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</si>
  <si>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</si>
  <si>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</si>
  <si>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</si>
  <si>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</si>
  <si>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</si>
  <si>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</si>
  <si>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</si>
  <si>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</si>
  <si>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</si>
  <si>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</si>
  <si>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</si>
  <si>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</si>
  <si>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</si>
  <si>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</si>
  <si>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</si>
  <si>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</si>
  <si>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</si>
  <si>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</si>
  <si>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</si>
  <si>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</si>
  <si>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</si>
  <si>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</si>
  <si>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</si>
  <si>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</si>
  <si>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</si>
  <si>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</si>
  <si>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</si>
  <si>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</si>
  <si>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</si>
  <si>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</si>
  <si>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</si>
  <si>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</si>
  <si>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</si>
  <si>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</si>
  <si>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</si>
  <si>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</si>
  <si>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</si>
  <si>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</si>
  <si>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</si>
  <si>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</si>
  <si>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</si>
  <si>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</si>
  <si>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</si>
  <si>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</si>
  <si>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</si>
  <si>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</si>
  <si>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</si>
  <si>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</si>
  <si>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</si>
  <si>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</si>
  <si>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</si>
  <si>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</si>
  <si>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</si>
  <si>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</si>
  <si>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</si>
  <si>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</si>
  <si>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</si>
  <si>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</si>
  <si>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</si>
  <si>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</si>
  <si>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</si>
  <si>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</si>
  <si>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</si>
  <si>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</si>
  <si>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</si>
  <si>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</si>
  <si>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</si>
  <si>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</si>
  <si>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</si>
  <si>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</si>
  <si>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</si>
  <si>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</si>
  <si>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</si>
  <si>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</si>
  <si>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</si>
  <si>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</si>
  <si>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</si>
  <si>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</si>
  <si>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</si>
  <si>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</si>
  <si>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</si>
  <si>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</si>
  <si>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</si>
  <si>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</si>
  <si>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</si>
  <si>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</si>
  <si>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</si>
  <si>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</si>
  <si>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</si>
  <si>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</si>
  <si>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</si>
  <si>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</si>
  <si>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</si>
  <si>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</si>
  <si>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</si>
  <si>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</si>
  <si>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</si>
  <si>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</si>
  <si>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</si>
  <si>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</si>
  <si>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</si>
  <si>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</si>
  <si>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</si>
  <si>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</si>
  <si>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</si>
  <si>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</si>
  <si>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</si>
  <si>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</si>
  <si>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</si>
  <si>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</si>
  <si>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</si>
  <si>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</si>
  <si>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</si>
  <si>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</si>
  <si>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</si>
  <si>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</si>
  <si>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</si>
  <si>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</si>
  <si>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</si>
  <si>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</si>
  <si>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</si>
  <si>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</si>
  <si>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</si>
  <si>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</si>
  <si>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</si>
  <si>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</si>
  <si>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</si>
  <si>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</si>
  <si>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</si>
  <si>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</si>
  <si>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</si>
  <si>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</si>
  <si>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</si>
  <si>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</si>
  <si>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</si>
  <si>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</si>
  <si>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</si>
  <si>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</si>
  <si>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</si>
  <si>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</si>
  <si>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</si>
  <si>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</si>
  <si>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</si>
  <si>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</si>
  <si>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</si>
  <si>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</si>
  <si>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</si>
  <si>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</si>
  <si>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</si>
  <si>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</si>
  <si>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</si>
  <si>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</si>
  <si>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</si>
  <si>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</si>
  <si>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</si>
  <si>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</si>
  <si>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</si>
  <si>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</si>
  <si>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</si>
  <si>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</si>
  <si>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</si>
  <si>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</si>
  <si>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</si>
  <si>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</si>
  <si>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</si>
  <si>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</si>
  <si>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</si>
  <si>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</si>
  <si>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</si>
  <si>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</si>
  <si>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</si>
  <si>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</si>
  <si>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</si>
  <si>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</si>
  <si>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</si>
  <si>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</si>
  <si>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</si>
  <si>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</si>
  <si>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</si>
  <si>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</si>
  <si>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</si>
  <si>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</si>
  <si>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</si>
  <si>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</si>
  <si>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</si>
  <si>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</si>
  <si>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</si>
  <si>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</si>
  <si>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</si>
  <si>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</si>
  <si>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</si>
  <si>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</si>
  <si>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</si>
  <si>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</si>
  <si>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</si>
  <si>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</si>
  <si>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</si>
  <si>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</si>
  <si>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</si>
  <si>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</si>
  <si>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</si>
  <si>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</si>
  <si>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</si>
  <si>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</si>
  <si>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</si>
  <si>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</si>
  <si>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</si>
  <si>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</si>
  <si>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</si>
  <si>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</si>
  <si>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</si>
  <si>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</si>
  <si>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</si>
  <si>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</si>
  <si>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</si>
  <si>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</si>
  <si>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</si>
  <si>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</si>
  <si>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</si>
  <si>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</si>
  <si>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</si>
  <si>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</si>
  <si>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</si>
  <si>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</si>
  <si>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</si>
  <si>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</si>
  <si>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</si>
  <si>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</si>
  <si>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</si>
  <si>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</si>
  <si>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</si>
  <si>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</si>
  <si>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</si>
  <si>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</si>
  <si>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</si>
  <si>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</si>
  <si>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</si>
  <si>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</si>
  <si>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</si>
  <si>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</si>
  <si>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</si>
  <si>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</si>
  <si>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</si>
  <si>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</si>
  <si>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</si>
  <si>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</si>
  <si>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</si>
  <si>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</si>
  <si>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</si>
  <si>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</si>
  <si>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</si>
  <si>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</si>
  <si>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</si>
  <si>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</si>
  <si>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</si>
  <si>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</si>
  <si>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</si>
  <si>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</si>
  <si>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</si>
  <si>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</si>
  <si>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</si>
  <si>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</si>
  <si>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</si>
  <si>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</si>
  <si>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</si>
  <si>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</si>
  <si>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</si>
  <si>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</si>
  <si>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</si>
  <si>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</si>
  <si>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</si>
  <si>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</si>
  <si>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</si>
  <si>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</si>
  <si>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</si>
  <si>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</si>
  <si>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</si>
  <si>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</si>
  <si>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</si>
  <si>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</si>
  <si>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</si>
  <si>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</si>
  <si>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</si>
  <si>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</si>
  <si>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</si>
  <si>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</si>
  <si>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</si>
  <si>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</si>
  <si>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</si>
  <si>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</si>
  <si>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</si>
  <si>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</si>
  <si>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</si>
  <si>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</si>
  <si>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</si>
  <si>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</si>
  <si>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</si>
  <si>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</si>
  <si>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</si>
  <si>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</si>
  <si>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</si>
  <si>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</si>
  <si>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</si>
  <si>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</si>
  <si>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</si>
  <si>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</si>
  <si>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</si>
  <si>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</si>
  <si>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</si>
  <si>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</si>
  <si>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</si>
  <si>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</si>
  <si>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</si>
  <si>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</si>
  <si>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</si>
  <si>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</si>
  <si>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</si>
  <si>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</si>
  <si>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</si>
  <si>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</si>
  <si>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</si>
  <si>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</si>
  <si>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</si>
  <si>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</si>
  <si>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</si>
  <si>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</si>
  <si>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</si>
  <si>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</si>
  <si>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</si>
  <si>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</si>
  <si>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</si>
  <si>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</si>
  <si>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</si>
  <si>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</si>
  <si>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</si>
  <si>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</si>
  <si>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</si>
  <si>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</si>
  <si>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</si>
  <si>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</si>
  <si>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</si>
  <si>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</si>
  <si>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</si>
  <si>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</si>
  <si>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</si>
  <si>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</si>
  <si>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</si>
  <si>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</si>
  <si>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</si>
  <si>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</si>
  <si>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</si>
  <si>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</si>
  <si>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</si>
  <si>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</si>
  <si>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</si>
  <si>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</si>
  <si>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</si>
  <si>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</si>
  <si>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</si>
  <si>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</si>
  <si>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</si>
  <si>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</si>
  <si>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</si>
  <si>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</si>
  <si>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</si>
  <si>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</si>
  <si>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</si>
  <si>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</si>
  <si>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</si>
  <si>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</si>
  <si>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</si>
  <si>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</si>
  <si>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</si>
  <si>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</si>
  <si>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</si>
  <si>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</si>
  <si>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</si>
  <si>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</si>
  <si>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</si>
  <si>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</si>
  <si>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</si>
  <si>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</si>
  <si>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</si>
  <si>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</si>
  <si>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</si>
  <si>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</si>
  <si>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</si>
  <si>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</si>
  <si>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</si>
  <si>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</si>
  <si>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</si>
  <si>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</si>
  <si>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</si>
  <si>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</si>
  <si>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</si>
  <si>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</si>
  <si>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</si>
  <si>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</si>
  <si>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</si>
  <si>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</si>
  <si>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</si>
  <si>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</si>
  <si>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</si>
  <si>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</si>
  <si>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</si>
  <si>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</si>
  <si>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</si>
  <si>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</si>
  <si>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</si>
  <si>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</si>
  <si>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</si>
  <si>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</si>
  <si>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</si>
  <si>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</si>
  <si>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</si>
  <si>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</si>
  <si>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</si>
  <si>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</si>
  <si>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</si>
  <si>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</si>
  <si>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</si>
  <si>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</si>
  <si>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</si>
  <si>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</si>
  <si>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</si>
  <si>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</si>
  <si>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</si>
  <si>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</si>
  <si>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</si>
  <si>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</si>
  <si>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</si>
  <si>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</si>
  <si>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</si>
  <si>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</si>
  <si>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</si>
  <si>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</si>
  <si>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</si>
  <si>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</si>
  <si>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</si>
  <si>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</si>
  <si>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</si>
  <si>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</si>
  <si>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</si>
  <si>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</si>
  <si>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</si>
  <si>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</si>
  <si>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</si>
  <si>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</si>
  <si>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</si>
  <si>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</si>
  <si>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</si>
  <si>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</si>
  <si>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</si>
  <si>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</si>
  <si>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</si>
  <si>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</si>
  <si>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</si>
  <si>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</si>
  <si>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</si>
  <si>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</si>
  <si>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</si>
  <si>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</si>
  <si>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</si>
  <si>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</si>
  <si>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</si>
  <si>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</si>
  <si>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</si>
  <si>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</si>
  <si>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</si>
  <si>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</si>
  <si>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</si>
  <si>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</si>
  <si>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</si>
  <si>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</si>
  <si>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</si>
  <si>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</si>
  <si>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</si>
  <si>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</si>
  <si>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</si>
  <si>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</si>
  <si>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</si>
  <si>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</si>
  <si>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</si>
  <si>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</si>
  <si>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</si>
  <si>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</si>
  <si>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</si>
  <si>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</si>
  <si>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</si>
  <si>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</si>
  <si>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</si>
  <si>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</si>
  <si>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</si>
  <si>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</si>
  <si>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</si>
  <si>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</si>
  <si>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</si>
  <si>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</si>
  <si>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</si>
  <si>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</si>
  <si>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</si>
  <si>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</si>
  <si>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</si>
  <si>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</si>
  <si>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</si>
  <si>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</si>
  <si>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</si>
  <si>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</si>
  <si>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</si>
  <si>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</si>
  <si>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</si>
  <si>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</si>
  <si>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</si>
  <si>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</si>
  <si>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</si>
  <si>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</si>
  <si>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</si>
  <si>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</si>
  <si>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</si>
  <si>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</si>
  <si>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</si>
  <si>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</si>
  <si>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</si>
  <si>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</si>
  <si>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</si>
  <si>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</si>
  <si>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</si>
  <si>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</si>
  <si>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</si>
  <si>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</si>
  <si>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</si>
  <si>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</si>
  <si>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</si>
  <si>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</si>
  <si>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</si>
  <si>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</si>
  <si>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</si>
  <si>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</si>
  <si>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</si>
  <si>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</si>
  <si>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</si>
  <si>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</si>
  <si>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</si>
  <si>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</si>
  <si>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</si>
  <si>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</si>
  <si>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</si>
  <si>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</si>
  <si>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</si>
  <si>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</si>
  <si>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</si>
  <si>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</si>
  <si>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</si>
  <si>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</si>
  <si>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</si>
  <si>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</si>
  <si>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</si>
  <si>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</si>
  <si>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</si>
  <si>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</si>
  <si>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</si>
  <si>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</si>
  <si>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</si>
  <si>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</si>
  <si>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</si>
  <si>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</si>
  <si>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</si>
  <si>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</si>
  <si>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</si>
  <si>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</si>
  <si>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</si>
  <si>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</si>
  <si>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</si>
  <si>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</si>
  <si>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</si>
  <si>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</si>
  <si>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</si>
  <si>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</si>
  <si>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</si>
  <si>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</si>
  <si>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</si>
  <si>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</si>
  <si>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</si>
  <si>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</si>
  <si>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</si>
  <si>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</si>
  <si>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</si>
  <si>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</si>
  <si>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</si>
  <si>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</si>
  <si>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</si>
  <si>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</si>
  <si>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</si>
  <si>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</si>
  <si>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</si>
  <si>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</si>
  <si>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</si>
  <si>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</si>
  <si>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</si>
  <si>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</si>
  <si>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</si>
  <si>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</si>
  <si>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</si>
  <si>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</si>
  <si>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</si>
  <si>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</si>
  <si>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</si>
  <si>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</si>
  <si>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</si>
  <si>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</si>
  <si>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</si>
  <si>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</si>
  <si>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</si>
  <si>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</si>
  <si>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</si>
  <si>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</si>
  <si>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</si>
  <si>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</si>
  <si>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</si>
  <si>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</si>
  <si>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</si>
  <si>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</si>
  <si>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</si>
  <si>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</si>
  <si>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</si>
  <si>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</si>
  <si>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</si>
  <si>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</si>
  <si>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</si>
  <si>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</si>
  <si>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</si>
  <si>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</si>
  <si>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</si>
  <si>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</si>
  <si>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</si>
  <si>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</si>
  <si>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</si>
  <si>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</si>
  <si>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</si>
  <si>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</si>
  <si>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</si>
  <si>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</si>
  <si>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</si>
  <si>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</si>
  <si>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</si>
  <si>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</si>
  <si>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</si>
  <si>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</si>
  <si>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</si>
  <si>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</si>
  <si>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</si>
  <si>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</si>
  <si>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</si>
  <si>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</si>
  <si>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</si>
  <si>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</si>
  <si>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</si>
  <si>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</si>
  <si>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</si>
  <si>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</si>
  <si>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</si>
  <si>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</si>
  <si>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</si>
  <si>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</si>
  <si>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</si>
  <si>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</si>
  <si>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</si>
  <si>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</si>
  <si>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</si>
  <si>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</si>
  <si>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</si>
  <si>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</si>
  <si>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</si>
  <si>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</si>
  <si>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</si>
  <si>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</si>
  <si>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</si>
  <si>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</si>
  <si>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</si>
  <si>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</si>
  <si>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</si>
  <si>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</si>
  <si>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</si>
  <si>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</si>
  <si>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</si>
  <si>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</si>
  <si>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</si>
  <si>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</si>
  <si>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</si>
  <si>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</si>
  <si>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</si>
  <si>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</si>
  <si>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</si>
  <si>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</si>
  <si>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</si>
  <si>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</si>
  <si>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</si>
  <si>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</si>
  <si>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</si>
  <si>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</si>
  <si>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</si>
  <si>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</si>
  <si>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</si>
  <si>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</si>
  <si>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</si>
  <si>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</si>
  <si>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</si>
  <si>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</si>
  <si>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</si>
  <si>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</si>
  <si>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</si>
  <si>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</si>
  <si>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</si>
  <si>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</si>
  <si>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</si>
  <si>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</si>
  <si>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</si>
  <si>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</si>
  <si>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</si>
  <si>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</si>
  <si>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</si>
  <si>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</si>
  <si>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</si>
  <si>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</si>
  <si>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</si>
  <si>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</si>
  <si>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</si>
  <si>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</si>
  <si>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</si>
  <si>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</si>
  <si>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</si>
  <si>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</si>
  <si>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</si>
  <si>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</si>
  <si>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</si>
  <si>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</si>
  <si>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</si>
  <si>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</si>
  <si>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</si>
  <si>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</si>
  <si>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</si>
  <si>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</si>
  <si>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</si>
  <si>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</si>
  <si>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</si>
  <si>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</si>
  <si>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</si>
  <si>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</si>
  <si>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</si>
  <si>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</si>
  <si>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</si>
  <si>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</si>
  <si>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</si>
  <si>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</si>
  <si>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</si>
  <si>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</si>
  <si>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</si>
  <si>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</si>
  <si>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</si>
  <si>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</si>
  <si>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</si>
  <si>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</si>
  <si>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</si>
  <si>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</si>
  <si>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</si>
  <si>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</si>
  <si>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</si>
  <si>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</si>
  <si>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</si>
  <si>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</si>
  <si>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</si>
  <si>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</si>
  <si>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</si>
  <si>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</si>
  <si>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</si>
  <si>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</si>
  <si>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</si>
  <si>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</si>
  <si>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</si>
  <si>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</si>
  <si>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</si>
  <si>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</si>
  <si>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</si>
  <si>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</si>
  <si>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</si>
  <si>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</si>
  <si>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</si>
  <si>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</si>
  <si>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</si>
  <si>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</si>
  <si>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</si>
  <si>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</si>
  <si>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</si>
  <si>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</si>
  <si>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</si>
  <si>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</si>
  <si>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</si>
  <si>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</si>
  <si>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</si>
  <si>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</si>
  <si>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</si>
  <si>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</si>
  <si>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</si>
  <si>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</si>
  <si>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</si>
  <si>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</si>
  <si>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</si>
  <si>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</si>
  <si>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</si>
  <si>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</si>
  <si>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</si>
  <si>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</si>
  <si>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</si>
  <si>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</si>
  <si>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</si>
  <si>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</si>
  <si>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</si>
  <si>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</si>
  <si>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</si>
  <si>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</si>
  <si>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</si>
  <si>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</si>
  <si>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</si>
  <si>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</si>
  <si>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</si>
  <si>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</si>
  <si>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</si>
  <si>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</si>
  <si>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</si>
  <si>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</si>
  <si>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</si>
  <si>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</si>
  <si>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</si>
  <si>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</si>
  <si>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</si>
  <si>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</si>
  <si>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</si>
  <si>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</si>
  <si>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</si>
  <si>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</si>
  <si>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</si>
  <si>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</si>
  <si>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</si>
  <si>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</si>
  <si>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</si>
  <si>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</si>
  <si>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</si>
  <si>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</si>
  <si>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</si>
  <si>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</si>
  <si>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</si>
  <si>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</si>
  <si>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</si>
  <si>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</si>
  <si>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</si>
  <si>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</si>
  <si>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</si>
  <si>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</si>
  <si>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</si>
  <si>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</si>
  <si>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</si>
  <si>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</si>
  <si>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</si>
  <si>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</si>
  <si>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</si>
  <si>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</si>
  <si>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</si>
  <si>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</si>
  <si>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</si>
  <si>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</si>
  <si>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</si>
  <si>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</si>
  <si>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</si>
  <si>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</si>
  <si>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</si>
  <si>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</si>
  <si>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</si>
  <si>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</si>
  <si>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</si>
  <si>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</si>
  <si>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</si>
  <si>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</si>
  <si>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</si>
  <si>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</si>
  <si>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</si>
  <si>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</si>
  <si>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</si>
  <si>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</si>
  <si>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</si>
  <si>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</si>
  <si>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</si>
  <si>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</si>
  <si>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</si>
  <si>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</si>
  <si>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</si>
  <si>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</si>
  <si>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</si>
  <si>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</si>
  <si>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</si>
  <si>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</si>
  <si>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</si>
  <si>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</si>
  <si>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</si>
  <si>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</si>
  <si>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</si>
  <si>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</si>
  <si>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</si>
  <si>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</si>
  <si>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</si>
  <si>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</si>
  <si>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</si>
  <si>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</si>
  <si>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</si>
  <si>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</si>
  <si>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</si>
  <si>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</si>
  <si>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</si>
  <si>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</si>
  <si>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</si>
  <si>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</si>
  <si>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</si>
  <si>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</si>
  <si>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</si>
  <si>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</si>
  <si>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</si>
  <si>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</si>
  <si>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</si>
  <si>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</si>
  <si>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</si>
  <si>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</si>
  <si>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</si>
  <si>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</si>
  <si>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</si>
  <si>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</si>
  <si>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</si>
  <si>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</si>
  <si>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</si>
  <si>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</si>
  <si>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</si>
  <si>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</si>
  <si>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</si>
  <si>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</si>
  <si>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</si>
  <si>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</si>
  <si>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</si>
  <si>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</si>
  <si>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</si>
  <si>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</si>
  <si>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</si>
  <si>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</si>
  <si>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</si>
  <si>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</si>
  <si>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</si>
  <si>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</si>
  <si>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</si>
  <si>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</si>
  <si>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</si>
  <si>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</si>
  <si>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</si>
  <si>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</si>
  <si>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</si>
  <si>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</si>
  <si>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</si>
  <si>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</si>
  <si>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</si>
  <si>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</si>
  <si>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</si>
  <si>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</si>
  <si>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</si>
  <si>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</si>
  <si>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</si>
  <si>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</si>
  <si>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</si>
  <si>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</si>
  <si>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</si>
  <si>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</si>
  <si>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</si>
  <si>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</si>
  <si>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</si>
  <si>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</si>
  <si>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</si>
  <si>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</si>
  <si>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</si>
  <si>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</si>
  <si>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</si>
  <si>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</si>
  <si>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</si>
  <si>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</si>
  <si>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</si>
  <si>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</si>
  <si>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</si>
  <si>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</si>
  <si>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</si>
  <si>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</si>
  <si>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</si>
  <si>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</si>
  <si>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</si>
  <si>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</si>
  <si>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</si>
  <si>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</si>
  <si>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</si>
  <si>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</si>
  <si>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</si>
  <si>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</si>
  <si>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</si>
  <si>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</si>
  <si>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</si>
  <si>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</si>
  <si>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</si>
  <si>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</si>
  <si>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</si>
  <si>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</si>
  <si>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</si>
  <si>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</si>
  <si>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</si>
  <si>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</si>
  <si>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</si>
  <si>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</si>
  <si>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</si>
  <si>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</si>
  <si>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</si>
  <si>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</si>
  <si>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</si>
  <si>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</si>
  <si>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</si>
  <si>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</si>
  <si>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</si>
  <si>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</si>
  <si>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</si>
  <si>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</si>
  <si>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</si>
  <si>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</si>
  <si>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</si>
  <si>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</si>
  <si>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</si>
  <si>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</si>
  <si>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</si>
  <si>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</si>
  <si>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</si>
  <si>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</si>
  <si>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</si>
  <si>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</si>
  <si>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</si>
  <si>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</si>
  <si>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</si>
  <si>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</si>
  <si>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</si>
  <si>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</si>
  <si>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</si>
  <si>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</si>
  <si>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</si>
  <si>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</si>
  <si>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</si>
  <si>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</si>
  <si>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</si>
  <si>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</si>
  <si>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</si>
  <si>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</si>
  <si>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</si>
  <si>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</si>
  <si>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</si>
  <si>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</si>
  <si>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</si>
  <si>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</si>
  <si>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</si>
  <si>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</si>
  <si>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</si>
  <si>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</si>
  <si>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</si>
  <si>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</si>
  <si>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</si>
  <si>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</si>
  <si>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</si>
  <si>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</si>
  <si>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</si>
  <si>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</si>
  <si>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</si>
  <si>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</si>
  <si>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</si>
  <si>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</si>
  <si>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</si>
  <si>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</si>
  <si>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</si>
  <si>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</si>
  <si>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</si>
  <si>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</si>
  <si>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</si>
  <si>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</si>
  <si>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</si>
  <si>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</si>
  <si>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</si>
  <si>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</si>
  <si>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</si>
  <si>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</si>
  <si>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</si>
  <si>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</si>
  <si>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</si>
  <si>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</si>
  <si>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</si>
  <si>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</si>
  <si>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</si>
  <si>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</si>
  <si>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</si>
  <si>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</si>
  <si>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</si>
  <si>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</si>
  <si>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</si>
  <si>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</si>
  <si>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</si>
  <si>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</si>
  <si>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</si>
  <si>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</si>
  <si>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</si>
  <si>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</si>
  <si>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</si>
  <si>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</si>
  <si>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</si>
  <si>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</si>
  <si>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</si>
  <si>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</si>
  <si>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</si>
  <si>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</si>
  <si>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</si>
  <si>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</si>
  <si>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</si>
  <si>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</si>
  <si>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</si>
  <si>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</si>
  <si>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</si>
  <si>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</si>
  <si>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</si>
  <si>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</si>
  <si>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</si>
  <si>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</si>
  <si>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</si>
  <si>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</si>
  <si>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</si>
  <si>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</si>
  <si>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</si>
  <si>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</si>
  <si>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</si>
  <si>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</si>
  <si>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</si>
  <si>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</si>
  <si>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</si>
  <si>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</si>
  <si>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</si>
  <si>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</si>
  <si>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</si>
  <si>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</si>
  <si>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</si>
  <si>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</si>
  <si>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</si>
  <si>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</si>
  <si>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</si>
  <si>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</si>
  <si>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</si>
  <si>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</si>
  <si>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</si>
  <si>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</si>
  <si>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</si>
  <si>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</si>
  <si>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</si>
  <si>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</si>
  <si>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</si>
  <si>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</si>
  <si>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</si>
  <si>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</si>
  <si>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</si>
  <si>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</si>
  <si>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</si>
  <si>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</si>
  <si>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</si>
  <si>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</si>
  <si>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</si>
  <si>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</si>
  <si>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</si>
  <si>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</si>
  <si>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</si>
  <si>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</si>
  <si>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</si>
  <si>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</si>
  <si>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</si>
  <si>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</si>
  <si>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</si>
  <si>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</si>
  <si>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</si>
  <si>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</si>
  <si>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</si>
  <si>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</si>
  <si>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</si>
  <si>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</si>
  <si>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</si>
  <si>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</si>
  <si>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</si>
  <si>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</si>
  <si>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</si>
  <si>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</si>
  <si>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</si>
  <si>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</si>
  <si>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</si>
  <si>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</si>
  <si>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</si>
  <si>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</si>
  <si>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</si>
  <si>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</si>
  <si>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</si>
  <si>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</si>
  <si>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</si>
  <si>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</si>
  <si>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</si>
  <si>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</si>
  <si>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</si>
  <si>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</si>
  <si>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</si>
  <si>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</si>
  <si>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</si>
  <si>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</si>
  <si>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</si>
  <si>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</si>
  <si>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</si>
  <si>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</si>
  <si>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</si>
  <si>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</si>
  <si>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</si>
  <si>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</si>
  <si>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</si>
  <si>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</si>
  <si>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</si>
  <si>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</si>
  <si>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</si>
  <si>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</si>
  <si>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</si>
  <si>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</si>
  <si>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</si>
  <si>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</si>
  <si>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</si>
  <si>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</si>
  <si>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</si>
  <si>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</si>
  <si>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</si>
  <si>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</si>
  <si>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</si>
  <si>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</si>
  <si>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</si>
  <si>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</si>
  <si>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</si>
  <si>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</si>
  <si>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</si>
  <si>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</si>
  <si>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</si>
  <si>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</si>
  <si>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</si>
  <si>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</si>
  <si>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</si>
  <si>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</si>
  <si>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</si>
  <si>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</si>
  <si>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</si>
  <si>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</si>
  <si>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</si>
  <si>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</si>
  <si>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</si>
  <si>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</si>
  <si>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</si>
  <si>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</si>
  <si>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</si>
  <si>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</si>
  <si>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</si>
  <si>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</si>
  <si>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</si>
  <si>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</si>
  <si>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</si>
  <si>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</si>
  <si>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</si>
  <si>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</si>
  <si>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</si>
  <si>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</si>
  <si>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</si>
  <si>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</si>
  <si>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</si>
  <si>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</si>
  <si>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</si>
  <si>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</si>
  <si>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</si>
  <si>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</si>
  <si>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</si>
  <si>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</si>
  <si>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</si>
  <si>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</si>
  <si>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</si>
  <si>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</si>
  <si>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</si>
  <si>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</si>
  <si>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</si>
  <si>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</si>
  <si>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</si>
  <si>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</si>
  <si>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</si>
  <si>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</si>
  <si>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</si>
  <si>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</si>
  <si>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</si>
  <si>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</si>
  <si>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</si>
  <si>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</si>
  <si>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</si>
  <si>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</si>
  <si>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</si>
  <si>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</si>
  <si>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</si>
  <si>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</si>
  <si>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</si>
  <si>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</si>
  <si>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</si>
  <si>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</si>
  <si>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</si>
  <si>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</si>
  <si>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</si>
  <si>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</si>
  <si>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</si>
  <si>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</si>
  <si>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</si>
  <si>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</si>
  <si>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</si>
  <si>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</si>
  <si>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</si>
  <si>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</si>
  <si>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</si>
  <si>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</si>
  <si>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</si>
  <si>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</si>
  <si>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</si>
  <si>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</si>
  <si>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</si>
  <si>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</si>
  <si>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</si>
  <si>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</si>
  <si>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</si>
  <si>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</si>
  <si>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</si>
  <si>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</si>
  <si>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</si>
  <si>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</si>
  <si>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</si>
  <si>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</si>
  <si>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</si>
  <si>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</si>
  <si>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</si>
  <si>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</si>
  <si>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</si>
  <si>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</si>
  <si>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</si>
  <si>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</si>
  <si>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</si>
  <si>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</si>
  <si>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</si>
  <si>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</si>
  <si>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</si>
  <si>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</si>
  <si>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</si>
  <si>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</si>
  <si>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</si>
  <si>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</si>
  <si>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</si>
  <si>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</si>
  <si>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</si>
  <si>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</si>
  <si>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</si>
  <si>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</si>
  <si>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</si>
  <si>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</si>
  <si>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</si>
  <si>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</si>
  <si>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</si>
  <si>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</si>
  <si>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</si>
  <si>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</si>
  <si>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</si>
  <si>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</si>
  <si>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</si>
  <si>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</si>
  <si>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</si>
  <si>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</si>
  <si>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</si>
  <si>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</si>
  <si>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</si>
  <si>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</si>
  <si>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</si>
  <si>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</si>
  <si>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</si>
  <si>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</si>
  <si>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</si>
  <si>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</si>
  <si>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</si>
  <si>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</si>
  <si>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</si>
  <si>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</si>
  <si>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</si>
  <si>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</si>
  <si>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</si>
  <si>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</si>
  <si>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</si>
  <si>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</si>
  <si>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</si>
  <si>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</si>
  <si>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</si>
  <si>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</si>
  <si>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</si>
  <si>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</si>
  <si>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</si>
  <si>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</si>
  <si>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</si>
  <si>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</si>
  <si>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</si>
  <si>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</si>
  <si>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</si>
  <si>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</si>
  <si>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</si>
  <si>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</si>
  <si>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</si>
  <si>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</si>
  <si>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</si>
  <si>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</si>
  <si>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</si>
  <si>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</si>
  <si>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</si>
  <si>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</si>
  <si>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</si>
  <si>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</si>
  <si>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</si>
  <si>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</si>
  <si>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</si>
  <si>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</si>
  <si>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</si>
  <si>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</si>
  <si>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</si>
  <si>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</si>
  <si>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</si>
  <si>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</si>
  <si>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</si>
  <si>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</si>
  <si>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</si>
  <si>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</si>
  <si>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</si>
  <si>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</si>
  <si>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</si>
  <si>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</si>
  <si>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</si>
  <si>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</si>
  <si>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</si>
  <si>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</si>
  <si>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</si>
  <si>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</si>
  <si>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</si>
  <si>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</si>
  <si>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</si>
  <si>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</si>
  <si>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</si>
  <si>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</si>
  <si>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</si>
  <si>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</si>
  <si>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</si>
  <si>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</si>
  <si>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</si>
  <si>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</si>
  <si>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</si>
  <si>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</si>
  <si>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</si>
  <si>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</si>
  <si>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</si>
  <si>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</si>
  <si>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</si>
  <si>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</si>
  <si>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</si>
  <si>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</si>
  <si>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</si>
  <si>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</si>
  <si>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</si>
  <si>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</si>
  <si>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</si>
  <si>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</si>
  <si>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</si>
  <si>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</si>
  <si>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</si>
  <si>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</si>
  <si>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</si>
  <si>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</si>
  <si>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</si>
  <si>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</si>
  <si>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</si>
  <si>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</si>
  <si>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</si>
  <si>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</si>
  <si>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</si>
  <si>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</si>
  <si>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</si>
  <si>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</si>
  <si>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</si>
  <si>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</si>
  <si>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</si>
  <si>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</si>
  <si>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</si>
  <si>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</si>
  <si>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</si>
  <si>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</si>
  <si>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</si>
  <si>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</si>
  <si>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</si>
  <si>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</si>
  <si>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</si>
  <si>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</si>
  <si>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</si>
  <si>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</si>
  <si>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</si>
  <si>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</si>
  <si>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</si>
  <si>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</si>
  <si>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</si>
  <si>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</si>
  <si>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</si>
  <si>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</si>
  <si>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</si>
  <si>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</si>
  <si>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</si>
  <si>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</si>
  <si>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</si>
  <si>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</si>
  <si>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</si>
  <si>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</si>
  <si>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</si>
  <si>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</si>
  <si>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</si>
  <si>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</si>
  <si>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</si>
  <si>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</si>
  <si>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</si>
  <si>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</si>
  <si>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</si>
  <si>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</si>
  <si>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</si>
  <si>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</si>
  <si>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</si>
  <si>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</si>
  <si>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</si>
  <si>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</si>
  <si>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</si>
  <si>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</si>
  <si>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</si>
  <si>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</si>
  <si>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</si>
  <si>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</si>
  <si>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</si>
  <si>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</si>
  <si>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</si>
  <si>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</si>
  <si>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</si>
  <si>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</si>
  <si>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</si>
  <si>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</si>
  <si>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</si>
  <si>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</si>
  <si>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</si>
  <si>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</si>
  <si>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</si>
  <si>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</si>
  <si>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</si>
  <si>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</si>
  <si>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</si>
  <si>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</si>
  <si>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</si>
  <si>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</si>
  <si>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</si>
  <si>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</si>
  <si>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</si>
  <si>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</si>
  <si>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</si>
  <si>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</si>
  <si>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</si>
  <si>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</si>
  <si>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</si>
  <si>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</si>
  <si>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</si>
  <si>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</si>
  <si>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</si>
  <si>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</si>
  <si>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</si>
  <si>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</si>
  <si>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</si>
  <si>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</si>
  <si>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</si>
  <si>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</si>
  <si>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</si>
  <si>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</si>
  <si>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</si>
  <si>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</si>
  <si>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</si>
  <si>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</si>
  <si>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</si>
  <si>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</si>
  <si>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</si>
  <si>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</si>
  <si>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</si>
  <si>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</si>
  <si>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</si>
  <si>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</si>
  <si>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</si>
  <si>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</si>
  <si>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</si>
  <si>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</si>
  <si>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</si>
  <si>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</si>
  <si>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</si>
  <si>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</si>
  <si>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</si>
  <si>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</si>
  <si>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</si>
  <si>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</si>
  <si>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</si>
  <si>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</si>
  <si>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</si>
  <si>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</si>
  <si>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</si>
  <si>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</si>
  <si>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</si>
  <si>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</si>
  <si>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</si>
  <si>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</si>
  <si>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</si>
  <si>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</si>
  <si>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</si>
  <si>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</si>
  <si>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</si>
  <si>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</si>
  <si>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</si>
  <si>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</si>
  <si>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</si>
  <si>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</si>
  <si>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</si>
  <si>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</si>
  <si>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</si>
  <si>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</si>
  <si>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</si>
  <si>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</si>
  <si>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</si>
  <si>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</si>
  <si>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</si>
  <si>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</si>
  <si>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</si>
  <si>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</si>
  <si>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</si>
  <si>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</si>
  <si>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</si>
  <si>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</si>
  <si>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</si>
  <si>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</si>
  <si>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</si>
  <si>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</si>
  <si>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</si>
  <si>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</si>
  <si>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</si>
  <si>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</si>
  <si>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</si>
  <si>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</si>
  <si>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</si>
  <si>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</si>
  <si>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</si>
  <si>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</si>
  <si>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</si>
  <si>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</si>
  <si>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</si>
  <si>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</si>
  <si>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</si>
  <si>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</si>
  <si>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</si>
  <si>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</si>
  <si>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</si>
  <si>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</si>
  <si>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</si>
  <si>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</si>
  <si>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</si>
  <si>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</si>
  <si>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</si>
  <si>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</si>
  <si>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</si>
  <si>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</si>
  <si>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</si>
  <si>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</si>
  <si>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</si>
  <si>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</si>
  <si>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</si>
  <si>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</si>
  <si>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</si>
  <si>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</si>
  <si>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</si>
  <si>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</si>
  <si>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</si>
  <si>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</si>
  <si>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</si>
  <si>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</si>
  <si>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</si>
  <si>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</si>
  <si>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</si>
  <si>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</si>
  <si>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</si>
  <si>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</si>
  <si>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</si>
  <si>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</si>
  <si>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</si>
  <si>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</si>
  <si>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</si>
  <si>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</si>
  <si>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</si>
  <si>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</si>
  <si>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</si>
  <si>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</si>
  <si>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</si>
  <si>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</si>
  <si>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</si>
  <si>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</si>
  <si>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</si>
  <si>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</si>
  <si>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</si>
  <si>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</si>
  <si>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</si>
  <si>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</si>
  <si>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</si>
  <si>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</si>
  <si>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</si>
  <si>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</si>
  <si>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</si>
  <si>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</si>
  <si>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</si>
  <si>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</si>
  <si>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</si>
  <si>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</si>
  <si>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</si>
  <si>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</si>
  <si>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</si>
  <si>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</si>
  <si>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</si>
  <si>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</si>
  <si>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</si>
  <si>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</si>
  <si>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</si>
  <si>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</si>
  <si>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</si>
  <si>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</si>
  <si>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</si>
  <si>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</si>
  <si>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</si>
  <si>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</si>
  <si>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</si>
  <si>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</si>
  <si>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</si>
  <si>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</si>
  <si>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</si>
  <si>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</si>
  <si>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</si>
  <si>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</si>
  <si>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</si>
  <si>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</si>
  <si>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</si>
  <si>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</si>
  <si>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</si>
  <si>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</si>
  <si>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</si>
  <si>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</si>
  <si>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</si>
  <si>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</si>
  <si>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</si>
  <si>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</si>
  <si>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</si>
  <si>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</si>
  <si>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</si>
  <si>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</si>
  <si>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</si>
  <si>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</si>
  <si>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</si>
  <si>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</si>
  <si>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</si>
  <si>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</si>
  <si>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</si>
  <si>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</si>
  <si>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</si>
  <si>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</si>
  <si>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</si>
  <si>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</si>
  <si>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</si>
  <si>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</si>
  <si>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</si>
  <si>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</si>
  <si>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</si>
  <si>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</si>
  <si>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</si>
  <si>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</si>
  <si>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</si>
  <si>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</si>
  <si>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</si>
  <si>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</si>
  <si>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</si>
  <si>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</si>
  <si>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</si>
  <si>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</si>
  <si>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</si>
  <si>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</si>
  <si>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</si>
  <si>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</si>
  <si>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</si>
  <si>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</si>
  <si>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</si>
  <si>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</si>
  <si>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</si>
  <si>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</si>
  <si>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</si>
  <si>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</si>
  <si>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</si>
  <si>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</si>
  <si>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</si>
  <si>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</si>
  <si>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</si>
  <si>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</si>
  <si>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</si>
  <si>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</si>
  <si>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</si>
  <si>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</si>
  <si>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</si>
  <si>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</si>
  <si>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</si>
  <si>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</si>
  <si>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</si>
  <si>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</si>
  <si>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</si>
  <si>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</si>
  <si>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</si>
  <si>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</si>
  <si>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</si>
  <si>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</si>
  <si>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</si>
  <si>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</si>
  <si>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</si>
  <si>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</si>
  <si>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</si>
  <si>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</si>
  <si>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</si>
  <si>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</si>
  <si>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</si>
  <si>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</si>
  <si>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</si>
  <si>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</si>
  <si>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</si>
  <si>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</si>
  <si>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</si>
  <si>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</si>
  <si>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</si>
  <si>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</si>
  <si>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</si>
  <si>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</si>
  <si>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</si>
  <si>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</si>
  <si>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</si>
  <si>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</si>
  <si>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</si>
  <si>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</si>
  <si>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</si>
  <si>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</si>
  <si>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</si>
  <si>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</si>
  <si>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</si>
  <si>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</si>
  <si>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</si>
  <si>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</si>
  <si>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</si>
  <si>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</si>
  <si>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</si>
  <si>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</si>
  <si>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</si>
  <si>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</si>
  <si>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</si>
  <si>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</si>
  <si>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</si>
  <si>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</si>
  <si>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</si>
  <si>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</si>
  <si>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</si>
  <si>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</si>
  <si>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</si>
  <si>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</si>
  <si>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</si>
  <si>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</si>
  <si>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</si>
  <si>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</si>
  <si>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</si>
  <si>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</si>
  <si>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</si>
  <si>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</si>
  <si>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</si>
  <si>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</si>
  <si>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</si>
  <si>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</si>
  <si>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</si>
  <si>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</si>
  <si>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</si>
  <si>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</si>
  <si>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</si>
  <si>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</si>
  <si>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</si>
  <si>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</si>
  <si>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</si>
  <si>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</si>
  <si>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</si>
  <si>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</si>
  <si>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</si>
  <si>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</si>
  <si>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</si>
  <si>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</si>
  <si>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</si>
  <si>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</si>
  <si>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</si>
  <si>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</si>
  <si>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</si>
  <si>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</si>
  <si>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</si>
  <si>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</si>
  <si>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</si>
  <si>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</si>
  <si>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</si>
  <si>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</si>
  <si>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</si>
  <si>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</si>
  <si>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</si>
  <si>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</si>
  <si>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</si>
  <si>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</si>
  <si>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</si>
  <si>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</si>
  <si>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</si>
  <si>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</si>
  <si>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</si>
  <si>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</si>
  <si>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</si>
  <si>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</si>
  <si>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</si>
  <si>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</si>
  <si>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</si>
  <si>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</si>
  <si>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</si>
  <si>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</si>
  <si>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</si>
  <si>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</si>
  <si>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</si>
  <si>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</si>
  <si>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</si>
  <si>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</si>
  <si>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</si>
  <si>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</si>
  <si>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</si>
  <si>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</si>
  <si>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</si>
  <si>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</si>
  <si>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</si>
  <si>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</si>
  <si>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</si>
  <si>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</si>
  <si>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</si>
  <si>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</si>
  <si>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</si>
  <si>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</si>
  <si>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</si>
  <si>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</si>
  <si>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</si>
  <si>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</si>
  <si>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</si>
  <si>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</si>
  <si>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</si>
  <si>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</si>
  <si>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</si>
  <si>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</si>
  <si>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</si>
  <si>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</si>
  <si>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</si>
  <si>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</si>
  <si>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</si>
  <si>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</si>
  <si>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</si>
  <si>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</si>
  <si>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</si>
  <si>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</si>
  <si>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</si>
  <si>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</si>
  <si>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</si>
  <si>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</si>
  <si>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</si>
  <si>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</si>
  <si>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</si>
  <si>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</si>
  <si>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</si>
  <si>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</si>
  <si>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</si>
  <si>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</si>
  <si>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</si>
  <si>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</si>
  <si>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</si>
  <si>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</si>
  <si>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</si>
  <si>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</si>
  <si>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</si>
  <si>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</si>
  <si>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</si>
  <si>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</si>
  <si>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</si>
  <si>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</si>
  <si>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</si>
  <si>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</si>
  <si>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</si>
  <si>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</si>
  <si>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</si>
  <si>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</si>
  <si>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</si>
  <si>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</si>
  <si>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</si>
  <si>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</si>
  <si>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</si>
  <si>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</si>
  <si>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</si>
  <si>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</si>
  <si>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</si>
  <si>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</si>
  <si>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</si>
  <si>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</si>
  <si>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</si>
  <si>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</si>
  <si>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</si>
  <si>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</si>
  <si>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</si>
  <si>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</si>
  <si>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</si>
  <si>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</si>
  <si>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</si>
  <si>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</si>
  <si>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</si>
  <si>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</si>
  <si>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</si>
  <si>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</si>
  <si>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</si>
  <si>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</si>
  <si>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</si>
  <si>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</si>
  <si>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</si>
  <si>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</si>
  <si>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</si>
  <si>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</si>
  <si>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</si>
  <si>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</si>
  <si>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</si>
  <si>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</si>
  <si>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</si>
  <si>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</si>
  <si>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</si>
  <si>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</si>
  <si>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</si>
  <si>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</si>
  <si>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</si>
  <si>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</si>
  <si>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</si>
  <si>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</si>
  <si>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</si>
  <si>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</si>
  <si>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</si>
  <si>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</si>
  <si>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</si>
  <si>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</si>
  <si>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</si>
  <si>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</si>
  <si>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</si>
  <si>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</si>
  <si>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</si>
  <si>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</si>
  <si>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</si>
  <si>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</si>
  <si>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</si>
  <si>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</si>
  <si>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</si>
  <si>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</si>
  <si>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</si>
  <si>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</si>
  <si>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</si>
  <si>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</si>
  <si>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</si>
  <si>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</si>
  <si>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</si>
  <si>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</si>
  <si>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</si>
  <si>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</si>
  <si>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</si>
  <si>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</si>
  <si>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</si>
  <si>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</si>
  <si>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</si>
  <si>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</si>
  <si>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</si>
  <si>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</si>
  <si>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</si>
  <si>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</si>
  <si>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</si>
  <si>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</si>
  <si>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</si>
  <si>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</si>
  <si>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</si>
  <si>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</si>
  <si>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</si>
  <si>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</si>
  <si>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</si>
  <si>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</si>
  <si>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</si>
  <si>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</si>
  <si>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</si>
  <si>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</si>
  <si>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</si>
  <si>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</si>
  <si>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</si>
  <si>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</si>
  <si>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</si>
  <si>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</si>
  <si>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</si>
  <si>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</si>
  <si>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</si>
  <si>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</si>
  <si>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</si>
  <si>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</si>
  <si>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</si>
  <si>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</si>
  <si>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</si>
  <si>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</si>
  <si>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</si>
  <si>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</si>
  <si>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</si>
  <si>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</si>
  <si>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</si>
  <si>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</si>
  <si>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</si>
  <si>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</si>
  <si>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</si>
  <si>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</si>
  <si>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</si>
  <si>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</si>
  <si>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</si>
  <si>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</si>
  <si>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</si>
  <si>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</si>
  <si>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</si>
  <si>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</si>
  <si>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</si>
  <si>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</si>
  <si>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</si>
  <si>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</si>
  <si>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</si>
  <si>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</si>
  <si>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</si>
  <si>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</si>
  <si>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</si>
  <si>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</si>
  <si>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</si>
  <si>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</si>
  <si>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</si>
  <si>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</si>
  <si>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</si>
  <si>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</si>
  <si>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</si>
  <si>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</si>
  <si>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</si>
  <si>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</si>
  <si>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</si>
  <si>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</si>
  <si>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</si>
  <si>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</si>
  <si>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</si>
  <si>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</si>
  <si>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</si>
  <si>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</si>
  <si>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</si>
  <si>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</si>
  <si>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</si>
  <si>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</si>
  <si>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</si>
  <si>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</si>
  <si>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</si>
  <si>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</si>
  <si>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</si>
  <si>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</si>
  <si>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</si>
  <si>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</si>
  <si>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</si>
  <si>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</si>
  <si>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</si>
  <si>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</si>
  <si>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</si>
  <si>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</si>
  <si>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</si>
  <si>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</si>
  <si>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</si>
  <si>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</si>
  <si>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</si>
  <si>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</si>
  <si>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</si>
  <si>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</si>
  <si>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</si>
  <si>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</si>
  <si>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</si>
  <si>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</si>
  <si>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</si>
  <si>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</si>
  <si>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</si>
  <si>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</si>
  <si>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</si>
  <si>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</si>
  <si>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</si>
  <si>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</si>
  <si>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</si>
  <si>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</si>
  <si>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</si>
  <si>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</si>
  <si>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</si>
  <si>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</si>
  <si>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</si>
  <si>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</si>
  <si>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</si>
  <si>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</si>
  <si>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</si>
  <si>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</si>
  <si>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</si>
  <si>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</si>
  <si>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</si>
  <si>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</si>
  <si>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</si>
  <si>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</si>
  <si>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</si>
  <si>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</si>
  <si>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</si>
  <si>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</si>
  <si>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</si>
  <si>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</si>
  <si>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</si>
  <si>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</si>
  <si>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</si>
  <si>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</si>
  <si>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</si>
  <si>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</si>
  <si>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</si>
  <si>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</si>
  <si>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</si>
  <si>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</si>
  <si>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</si>
  <si>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</si>
  <si>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</si>
  <si>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</si>
  <si>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</si>
  <si>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</si>
  <si>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</si>
  <si>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</si>
  <si>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</si>
  <si>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</si>
  <si>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</si>
  <si>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</si>
  <si>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</si>
  <si>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</si>
  <si>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</si>
  <si>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</si>
  <si>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</si>
  <si>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</si>
  <si>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</si>
  <si>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</si>
  <si>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</si>
  <si>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</si>
  <si>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</si>
  <si>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</si>
  <si>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</si>
  <si>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</si>
  <si>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</si>
  <si>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</si>
  <si>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</si>
  <si>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</si>
  <si>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</si>
  <si>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</si>
  <si>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</si>
  <si>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</si>
  <si>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</si>
  <si>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</si>
  <si>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</si>
  <si>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</si>
  <si>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</si>
  <si>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</si>
  <si>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</si>
  <si>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</si>
  <si>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</si>
  <si>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</si>
  <si>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</si>
  <si>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</si>
  <si>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</si>
  <si>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</si>
  <si>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</si>
  <si>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</si>
  <si>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</si>
  <si>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</si>
  <si>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</si>
  <si>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</si>
  <si>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</si>
  <si>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</si>
  <si>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</si>
  <si>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</si>
  <si>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</si>
  <si>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</si>
  <si>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</si>
  <si>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</si>
  <si>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</si>
  <si>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</si>
  <si>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</si>
  <si>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</si>
  <si>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</si>
  <si>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</si>
  <si>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</si>
  <si>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</si>
  <si>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</si>
  <si>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</si>
  <si>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</si>
  <si>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</si>
  <si>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</si>
  <si>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</si>
  <si>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</si>
  <si>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</si>
  <si>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</si>
  <si>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</si>
  <si>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</si>
  <si>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</si>
  <si>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</si>
  <si>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</si>
  <si>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</si>
  <si>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</si>
  <si>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</si>
  <si>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</si>
  <si>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</si>
  <si>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</si>
  <si>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</si>
  <si>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</si>
  <si>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</si>
  <si>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</si>
  <si>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</si>
  <si>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</si>
  <si>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</si>
  <si>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</si>
  <si>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</si>
  <si>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</si>
  <si>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</si>
  <si>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</si>
  <si>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</si>
  <si>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</si>
  <si>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</si>
  <si>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</si>
  <si>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</si>
  <si>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</si>
  <si>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</si>
  <si>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</si>
  <si>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</si>
  <si>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</si>
  <si>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</si>
  <si>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</si>
  <si>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</si>
  <si>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</si>
  <si>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</si>
  <si>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</si>
  <si>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</si>
  <si>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</si>
  <si>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</si>
  <si>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</si>
  <si>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</si>
  <si>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</si>
  <si>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</si>
  <si>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</si>
  <si>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</si>
  <si>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</si>
  <si>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</si>
  <si>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</si>
  <si>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</si>
  <si>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</si>
  <si>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</si>
  <si>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</si>
  <si>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</si>
  <si>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</si>
  <si>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</si>
  <si>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</si>
  <si>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</si>
  <si>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</si>
  <si>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</si>
  <si>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</si>
  <si>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</si>
  <si>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</si>
  <si>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</si>
  <si>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</si>
  <si>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</si>
  <si>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</si>
  <si>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</si>
  <si>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</si>
  <si>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</si>
  <si>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</si>
  <si>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</si>
  <si>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</si>
  <si>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</si>
  <si>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</si>
  <si>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</si>
  <si>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</si>
  <si>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</si>
  <si>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</si>
  <si>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</si>
  <si>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</si>
  <si>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</si>
  <si>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</si>
  <si>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</si>
  <si>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</si>
  <si>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</si>
  <si>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</si>
  <si>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</si>
  <si>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</si>
  <si>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</si>
  <si>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</si>
  <si>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</si>
  <si>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</si>
  <si>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</si>
  <si>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</si>
  <si>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</si>
  <si>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</si>
  <si>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</si>
  <si>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</si>
  <si>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</si>
  <si>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</si>
  <si>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</si>
  <si>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</si>
  <si>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</si>
  <si>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</si>
  <si>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</si>
  <si>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</si>
  <si>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</si>
  <si>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</si>
  <si>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</si>
  <si>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</si>
  <si>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</si>
  <si>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</si>
  <si>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</si>
  <si>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</si>
  <si>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</si>
  <si>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</si>
  <si>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</si>
  <si>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</si>
  <si>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</si>
  <si>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</si>
  <si>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</si>
  <si>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</si>
  <si>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</si>
  <si>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</si>
  <si>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</si>
  <si>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</si>
  <si>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</si>
  <si>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</si>
  <si>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</si>
  <si>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</si>
  <si>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</si>
  <si>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</si>
  <si>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</si>
  <si>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</si>
  <si>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</si>
  <si>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</si>
  <si>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</si>
  <si>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</si>
  <si>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</si>
  <si>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</si>
  <si>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</si>
  <si>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</si>
  <si>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</si>
  <si>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</si>
  <si>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</si>
  <si>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</si>
  <si>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</si>
  <si>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</si>
  <si>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</si>
  <si>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</si>
  <si>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</si>
  <si>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</si>
  <si>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</si>
  <si>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</si>
  <si>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</si>
  <si>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</si>
  <si>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</si>
  <si>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</si>
  <si>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</si>
  <si>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</si>
  <si>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</si>
  <si>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</si>
  <si>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</si>
  <si>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</si>
  <si>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</si>
  <si>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</si>
  <si>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</si>
  <si>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</si>
  <si>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</si>
  <si>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</si>
  <si>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</si>
  <si>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</si>
  <si>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</si>
  <si>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</si>
  <si>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</si>
  <si>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</si>
  <si>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</si>
  <si>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</si>
  <si>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</si>
  <si>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</si>
  <si>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</si>
  <si>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</si>
  <si>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</si>
  <si>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</si>
  <si>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</si>
  <si>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</si>
  <si>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</si>
  <si>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</si>
  <si>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</si>
  <si>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</si>
  <si>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</si>
  <si>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</si>
  <si>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</si>
  <si>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</si>
  <si>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</si>
  <si>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</si>
  <si>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</si>
  <si>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</si>
  <si>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</si>
  <si>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</si>
  <si>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</si>
  <si>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</si>
  <si>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</si>
  <si>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</si>
  <si>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</si>
  <si>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</si>
  <si>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</si>
  <si>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</si>
  <si>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</si>
  <si>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</si>
  <si>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</si>
  <si>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</si>
  <si>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</si>
  <si>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</si>
  <si>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</si>
  <si>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</si>
  <si>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</si>
  <si>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</si>
  <si>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</si>
  <si>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</si>
  <si>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</si>
  <si>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</si>
  <si>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</si>
  <si>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</si>
  <si>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</si>
  <si>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</si>
  <si>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</si>
  <si>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</si>
  <si>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</si>
  <si>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</si>
  <si>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</si>
  <si>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</si>
  <si>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</si>
  <si>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</si>
  <si>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</si>
  <si>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</si>
  <si>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</si>
  <si>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</si>
  <si>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</si>
  <si>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</si>
  <si>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</si>
  <si>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</si>
  <si>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</si>
  <si>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</si>
  <si>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</si>
  <si>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</si>
  <si>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</si>
  <si>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</si>
  <si>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</si>
  <si>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</si>
  <si>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</si>
  <si>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</si>
  <si>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</si>
  <si>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</si>
  <si>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</si>
  <si>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</si>
  <si>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</si>
  <si>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</si>
  <si>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</si>
  <si>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</si>
  <si>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</si>
  <si>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</si>
  <si>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</si>
  <si>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</si>
  <si>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</si>
  <si>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</si>
  <si>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</si>
  <si>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</si>
  <si>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</si>
  <si>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</si>
  <si>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</si>
  <si>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</si>
  <si>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</si>
  <si>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</si>
  <si>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</si>
  <si>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</si>
  <si>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</si>
  <si>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</si>
  <si>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</si>
  <si>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</si>
  <si>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</si>
  <si>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</si>
  <si>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</si>
  <si>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</si>
  <si>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</si>
  <si>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</si>
  <si>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</si>
  <si>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</si>
  <si>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</si>
  <si>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</si>
  <si>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</si>
  <si>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</si>
  <si>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</si>
  <si>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</si>
  <si>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</si>
  <si>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</si>
  <si>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</si>
  <si>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</si>
  <si>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</si>
  <si>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</si>
  <si>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</si>
  <si>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</si>
  <si>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</si>
  <si>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</si>
  <si>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</si>
  <si>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</si>
  <si>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</si>
  <si>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</si>
  <si>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</si>
  <si>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</si>
  <si>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</si>
  <si>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</si>
  <si>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</si>
  <si>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</si>
  <si>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</si>
  <si>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</si>
  <si>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</si>
  <si>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</si>
  <si>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</si>
  <si>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</si>
  <si>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</si>
  <si>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</si>
  <si>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</si>
  <si>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</si>
  <si>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</si>
  <si>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</si>
  <si>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</si>
  <si>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</si>
  <si>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</si>
  <si>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</si>
  <si>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</si>
  <si>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</si>
  <si>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</si>
  <si>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</si>
  <si>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</si>
  <si>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</si>
  <si>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</si>
  <si>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</si>
  <si>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</si>
  <si>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</si>
  <si>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</si>
  <si>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</si>
  <si>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</si>
  <si>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</si>
  <si>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</si>
  <si>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</si>
  <si>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</si>
  <si>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</si>
  <si>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</si>
  <si>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</si>
  <si>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</si>
  <si>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</si>
  <si>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</si>
  <si>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</si>
  <si>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</si>
  <si>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</si>
  <si>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</si>
  <si>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</si>
  <si>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</si>
  <si>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</si>
  <si>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</si>
  <si>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</si>
  <si>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</si>
  <si>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</si>
  <si>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</si>
  <si>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</si>
  <si>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</si>
  <si>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</si>
  <si>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</si>
  <si>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</si>
  <si>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</si>
  <si>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</si>
  <si>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</si>
  <si>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</si>
  <si>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</si>
  <si>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</si>
  <si>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</si>
  <si>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</si>
  <si>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</si>
  <si>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</si>
  <si>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</si>
  <si>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</si>
  <si>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</si>
  <si>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</si>
  <si>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</si>
  <si>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</si>
  <si>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</si>
  <si>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</si>
  <si>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</si>
  <si>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</si>
  <si>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</si>
  <si>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</si>
  <si>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</si>
  <si>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</si>
  <si>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</si>
  <si>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</si>
  <si>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</si>
  <si>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</si>
  <si>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</si>
  <si>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</si>
  <si>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</si>
  <si>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</si>
  <si>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</si>
  <si>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</si>
  <si>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</si>
  <si>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</si>
  <si>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</si>
  <si>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</si>
  <si>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</si>
  <si>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</si>
  <si>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</si>
  <si>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</si>
  <si>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</si>
  <si>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</si>
  <si>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</si>
  <si>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</si>
  <si>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</si>
  <si>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</si>
  <si>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</si>
  <si>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</si>
  <si>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</si>
  <si>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</si>
  <si>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</si>
  <si>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</si>
  <si>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</si>
  <si>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</si>
  <si>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</si>
  <si>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</si>
  <si>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</si>
  <si>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</si>
  <si>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</si>
  <si>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</si>
  <si>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</si>
  <si>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</si>
  <si>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</si>
  <si>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</si>
  <si>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</si>
  <si>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</si>
  <si>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</si>
  <si>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</si>
  <si>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</si>
  <si>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</si>
  <si>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</si>
  <si>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</si>
  <si>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</si>
  <si>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</si>
  <si>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</si>
  <si>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</si>
  <si>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</si>
  <si>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</si>
  <si>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</si>
  <si>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</si>
  <si>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</si>
  <si>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</si>
  <si>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</si>
  <si>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</si>
  <si>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</si>
  <si>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</si>
  <si>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</si>
  <si>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</si>
  <si>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</si>
  <si>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</si>
  <si>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</si>
  <si>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</si>
  <si>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</si>
  <si>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</si>
  <si>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</si>
  <si>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</si>
  <si>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</si>
  <si>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</si>
  <si>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</si>
  <si>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</si>
  <si>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</si>
  <si>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</si>
  <si>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</si>
  <si>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</si>
  <si>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</si>
  <si>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</si>
  <si>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</si>
  <si>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</si>
  <si>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</si>
  <si>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</si>
  <si>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</si>
  <si>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</si>
  <si>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</si>
  <si>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</si>
  <si>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</si>
  <si>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</si>
  <si>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</si>
  <si>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</si>
  <si>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</si>
  <si>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</si>
  <si>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</si>
  <si>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</si>
  <si>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</si>
  <si>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</si>
  <si>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</si>
  <si>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</si>
  <si>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</si>
  <si>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</si>
  <si>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</si>
  <si>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</si>
  <si>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</si>
  <si>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</si>
  <si>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</si>
  <si>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</si>
  <si>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</si>
  <si>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</si>
  <si>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</si>
  <si>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</si>
  <si>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</si>
  <si>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</si>
  <si>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</si>
  <si>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</si>
  <si>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</si>
  <si>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</si>
  <si>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</si>
  <si>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</si>
  <si>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</si>
  <si>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</si>
  <si>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</si>
  <si>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</si>
  <si>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</si>
  <si>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</si>
  <si>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</si>
  <si>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</si>
  <si>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</si>
  <si>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</si>
  <si>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</si>
  <si>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</si>
  <si>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</si>
  <si>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</si>
  <si>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</si>
  <si>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</si>
  <si>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</si>
  <si>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</si>
  <si>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</si>
  <si>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</si>
  <si>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</si>
  <si>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</si>
  <si>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</si>
  <si>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</si>
  <si>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</si>
  <si>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</si>
  <si>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</si>
  <si>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</si>
  <si>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</si>
  <si>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</si>
  <si>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</si>
  <si>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</si>
  <si>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</si>
  <si>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</si>
  <si>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</si>
  <si>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</si>
  <si>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</si>
  <si>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</si>
  <si>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</si>
  <si>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</si>
  <si>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</si>
  <si>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</si>
  <si>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</si>
  <si>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</si>
  <si>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</si>
  <si>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</si>
  <si>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</si>
  <si>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</si>
  <si>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</si>
  <si>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</si>
  <si>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</si>
  <si>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</si>
  <si>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</si>
  <si>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</si>
  <si>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</si>
  <si>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</si>
  <si>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</si>
  <si>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</si>
  <si>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</si>
  <si>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</si>
  <si>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</si>
  <si>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</si>
  <si>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</si>
  <si>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</si>
  <si>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</si>
  <si>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</si>
  <si>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</si>
  <si>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</si>
  <si>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</si>
  <si>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</si>
  <si>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</si>
  <si>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</si>
  <si>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</si>
  <si>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</si>
  <si>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</si>
  <si>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</si>
  <si>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</si>
  <si>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</si>
  <si>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</si>
  <si>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</si>
  <si>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</si>
  <si>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</si>
  <si>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</si>
  <si>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</si>
  <si>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</si>
  <si>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</si>
  <si>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</si>
  <si>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</si>
  <si>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</si>
  <si>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</si>
  <si>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</si>
  <si>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</si>
  <si>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</si>
  <si>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</si>
  <si>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</si>
  <si>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</si>
  <si>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</si>
  <si>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</si>
  <si>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</si>
  <si>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</si>
  <si>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</si>
  <si>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</si>
  <si>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</si>
  <si>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</si>
  <si>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</si>
  <si>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</si>
  <si>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</si>
  <si>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</si>
  <si>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</si>
  <si>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</si>
  <si>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</si>
  <si>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</si>
  <si>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</si>
  <si>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</si>
  <si>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</si>
  <si>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</si>
  <si>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</si>
  <si>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</si>
  <si>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</si>
  <si>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</si>
  <si>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</si>
  <si>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</si>
  <si>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</si>
  <si>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</si>
  <si>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</si>
  <si>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</si>
  <si>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</si>
  <si>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</si>
  <si>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</si>
  <si>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</si>
  <si>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</si>
  <si>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</si>
  <si>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</si>
  <si>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</si>
  <si>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</si>
  <si>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</si>
  <si>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</si>
  <si>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</si>
  <si>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</si>
  <si>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</si>
  <si>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</si>
  <si>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</si>
  <si>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</si>
  <si>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</si>
  <si>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</si>
  <si>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</si>
  <si>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</si>
  <si>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</si>
  <si>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</si>
  <si>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</si>
  <si>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</si>
  <si>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</si>
  <si>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</si>
  <si>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</si>
  <si>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</si>
  <si>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</si>
  <si>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</si>
  <si>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</si>
  <si>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</si>
  <si>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</si>
  <si>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</si>
  <si>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</si>
  <si>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</si>
  <si>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</si>
  <si>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</si>
  <si>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</si>
  <si>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</si>
  <si>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</si>
  <si>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</si>
  <si>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</si>
  <si>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</si>
  <si>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</si>
  <si>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</si>
  <si>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</si>
  <si>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</si>
  <si>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</si>
  <si>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</si>
  <si>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</si>
  <si>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</si>
  <si>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</si>
  <si>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</si>
  <si>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</si>
  <si>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</si>
  <si>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</si>
  <si>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</si>
  <si>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</si>
  <si>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</si>
  <si>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</si>
  <si>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</si>
  <si>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</si>
  <si>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</si>
  <si>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</si>
  <si>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</si>
  <si>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</si>
  <si>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</si>
  <si>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</si>
  <si>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</si>
  <si>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</si>
  <si>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</si>
  <si>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</si>
  <si>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</si>
  <si>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</si>
  <si>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</si>
  <si>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</si>
  <si>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</si>
  <si>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</si>
  <si>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</si>
  <si>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</si>
  <si>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</si>
  <si>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</si>
  <si>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</si>
  <si>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</si>
  <si>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</si>
  <si>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</si>
  <si>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</si>
  <si>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</si>
  <si>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</si>
  <si>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</si>
  <si>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</si>
  <si>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</si>
  <si>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</si>
  <si>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</si>
  <si>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</si>
  <si>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</si>
  <si>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</si>
  <si>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</si>
  <si>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</si>
  <si>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</si>
  <si>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</si>
  <si>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</si>
  <si>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</si>
  <si>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</si>
  <si>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</si>
  <si>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</si>
  <si>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</si>
  <si>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</si>
  <si>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</si>
  <si>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</si>
  <si>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</si>
  <si>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</si>
  <si>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</si>
  <si>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</si>
  <si>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</si>
  <si>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</si>
  <si>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</si>
  <si>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</si>
  <si>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</si>
  <si>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</si>
  <si>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</si>
  <si>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</si>
  <si>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</si>
  <si>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</si>
  <si>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</si>
  <si>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</si>
  <si>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</si>
  <si>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</si>
  <si>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</si>
  <si>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</si>
  <si>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</si>
  <si>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</si>
  <si>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</si>
  <si>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</si>
  <si>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</si>
  <si>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</si>
  <si>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</si>
  <si>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</si>
  <si>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</si>
  <si>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</si>
  <si>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</si>
  <si>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</si>
  <si>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</si>
  <si>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</si>
  <si>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</si>
  <si>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</si>
  <si>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</si>
  <si>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</si>
  <si>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</si>
  <si>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</si>
  <si>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</si>
  <si>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</si>
  <si>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</si>
  <si>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</si>
  <si>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</si>
  <si>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</si>
  <si>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</si>
  <si>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</si>
  <si>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</si>
  <si>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</si>
  <si>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</si>
  <si>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</si>
  <si>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</si>
  <si>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</si>
  <si>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</si>
  <si>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</si>
  <si>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</si>
  <si>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</si>
  <si>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</si>
  <si>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</si>
  <si>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</si>
  <si>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</si>
  <si>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</si>
  <si>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</si>
  <si>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</si>
  <si>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</si>
  <si>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</si>
  <si>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</si>
  <si>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</si>
  <si>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</si>
  <si>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</si>
  <si>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</si>
  <si>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</si>
  <si>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</si>
  <si>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</si>
  <si>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</si>
  <si>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</si>
  <si>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</si>
  <si>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</si>
  <si>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</si>
  <si>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</si>
  <si>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</si>
  <si>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</si>
  <si>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</si>
  <si>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</si>
  <si>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</si>
  <si>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</si>
  <si>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</si>
  <si>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</si>
  <si>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</si>
  <si>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</si>
  <si>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</si>
  <si>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</si>
  <si>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</si>
  <si>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</si>
  <si>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</si>
  <si>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</si>
  <si>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</si>
  <si>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</si>
  <si>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</si>
  <si>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</si>
  <si>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</si>
  <si>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</si>
  <si>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</si>
  <si>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</si>
  <si>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</si>
  <si>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</si>
  <si>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</si>
  <si>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</si>
  <si>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</si>
  <si>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</si>
  <si>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</si>
  <si>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</si>
  <si>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</si>
  <si>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</si>
  <si>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</si>
  <si>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</si>
  <si>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</si>
  <si>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</si>
  <si>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</si>
  <si>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</si>
  <si>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</si>
  <si>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</si>
  <si>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</si>
  <si>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</si>
  <si>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</si>
  <si>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</si>
  <si>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</si>
  <si>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</si>
  <si>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</si>
  <si>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</si>
  <si>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</si>
  <si>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</si>
  <si>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</si>
  <si>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</si>
  <si>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</si>
  <si>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</si>
  <si>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</si>
  <si>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</si>
  <si>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</si>
  <si>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</si>
  <si>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</si>
  <si>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</si>
  <si>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</si>
  <si>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</si>
  <si>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</si>
  <si>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</si>
  <si>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</si>
  <si>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</si>
  <si>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</si>
  <si>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</si>
  <si>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</si>
  <si>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</si>
  <si>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</si>
  <si>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</si>
  <si>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</si>
  <si>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</si>
  <si>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</si>
  <si>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</si>
  <si>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</si>
  <si>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</si>
  <si>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</si>
  <si>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</si>
  <si>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</si>
  <si>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</si>
  <si>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</si>
  <si>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</si>
  <si>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</si>
  <si>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</si>
  <si>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</si>
  <si>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</si>
  <si>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</si>
  <si>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</si>
  <si>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</si>
  <si>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</si>
  <si>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</si>
  <si>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</si>
  <si>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</si>
  <si>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</si>
  <si>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</si>
  <si>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</si>
  <si>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</si>
  <si>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</si>
  <si>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</si>
  <si>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</si>
  <si>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</si>
  <si>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</si>
  <si>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</si>
  <si>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</si>
  <si>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</si>
  <si>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</si>
  <si>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</si>
  <si>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</si>
  <si>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</si>
  <si>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</si>
  <si>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</si>
  <si>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</si>
  <si>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</si>
  <si>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</si>
  <si>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</si>
  <si>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</si>
  <si>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</si>
  <si>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</si>
  <si>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</si>
  <si>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</si>
  <si>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</si>
  <si>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</si>
  <si>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</si>
  <si>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</si>
  <si>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</si>
  <si>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</si>
  <si>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</si>
  <si>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</si>
  <si>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</si>
  <si>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</si>
  <si>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</si>
  <si>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</si>
  <si>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</si>
  <si>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</si>
  <si>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</si>
  <si>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</si>
  <si>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</si>
  <si>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</si>
  <si>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</si>
  <si>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</si>
  <si>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</si>
  <si>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</si>
  <si>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</si>
  <si>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</si>
  <si>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</si>
  <si>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</si>
  <si>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</si>
  <si>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</si>
  <si>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</si>
  <si>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</si>
  <si>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</si>
  <si>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</si>
  <si>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</si>
  <si>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</si>
  <si>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</si>
  <si>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</si>
  <si>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</si>
  <si>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</si>
  <si>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</si>
  <si>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</si>
  <si>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</si>
  <si>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</si>
  <si>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</si>
  <si>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</si>
  <si>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</si>
  <si>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</si>
  <si>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</si>
  <si>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</si>
  <si>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</si>
  <si>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</si>
  <si>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</si>
  <si>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</si>
  <si>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</si>
  <si>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</si>
  <si>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</si>
  <si>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</si>
  <si>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</si>
  <si>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</si>
  <si>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</si>
  <si>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</si>
  <si>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</si>
  <si>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</si>
  <si>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</si>
  <si>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</si>
  <si>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</si>
  <si>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</si>
  <si>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</si>
  <si>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</si>
  <si>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</si>
  <si>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</si>
  <si>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</si>
  <si>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</si>
  <si>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</si>
  <si>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</si>
  <si>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</si>
  <si>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</si>
  <si>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</si>
  <si>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</si>
  <si>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</si>
  <si>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</si>
  <si>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</si>
  <si>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</si>
  <si>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</si>
  <si>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</si>
  <si>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</si>
  <si>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</si>
  <si>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</si>
  <si>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</si>
  <si>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</si>
  <si>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</si>
  <si>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</si>
  <si>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</si>
  <si>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</si>
  <si>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</si>
  <si>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</si>
  <si>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</si>
  <si>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</si>
  <si>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</si>
  <si>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</si>
  <si>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</si>
  <si>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</si>
  <si>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</si>
  <si>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</si>
  <si>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</si>
  <si>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</si>
  <si>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</si>
  <si>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</si>
  <si>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</si>
  <si>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</si>
  <si>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</si>
  <si>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</si>
  <si>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</si>
  <si>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</si>
  <si>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</si>
  <si>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</si>
  <si>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</si>
  <si>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</si>
  <si>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</si>
  <si>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</si>
  <si>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</si>
  <si>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</si>
  <si>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</si>
  <si>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</si>
  <si>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</si>
  <si>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</si>
  <si>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</si>
  <si>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</si>
  <si>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</si>
  <si>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</si>
  <si>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</si>
  <si>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</si>
  <si>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</si>
  <si>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</si>
  <si>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</si>
  <si>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</si>
  <si>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</si>
  <si>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</si>
  <si>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</si>
  <si>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</si>
  <si>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</si>
  <si>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</si>
  <si>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</si>
  <si>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</si>
  <si>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</si>
  <si>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</si>
  <si>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</si>
  <si>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</si>
  <si>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</si>
  <si>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</si>
  <si>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</si>
  <si>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</si>
  <si>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</si>
  <si>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</si>
  <si>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</si>
  <si>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</si>
  <si>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</si>
  <si>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</si>
  <si>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</si>
  <si>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</si>
  <si>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</si>
  <si>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</si>
  <si>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</si>
  <si>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</si>
  <si>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</si>
  <si>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</si>
  <si>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</si>
  <si>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</si>
  <si>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</si>
  <si>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</si>
  <si>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</si>
  <si>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</si>
  <si>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</si>
  <si>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</si>
  <si>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</si>
  <si>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</si>
  <si>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</si>
  <si>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</si>
  <si>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</si>
  <si>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</si>
  <si>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</si>
  <si>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</si>
  <si>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</si>
  <si>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</si>
  <si>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</si>
  <si>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</si>
  <si>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</si>
  <si>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</si>
  <si>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</si>
  <si>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</si>
  <si>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</si>
  <si>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</si>
  <si>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</si>
  <si>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</si>
  <si>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</si>
  <si>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</si>
  <si>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</si>
  <si>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</si>
  <si>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</si>
  <si>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</si>
  <si>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</si>
  <si>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</si>
  <si>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</si>
  <si>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</si>
  <si>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</si>
  <si>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</si>
  <si>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</si>
  <si>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</si>
  <si>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</si>
  <si>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</si>
  <si>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</si>
  <si>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</si>
  <si>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</si>
  <si>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</si>
  <si>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</si>
  <si>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</si>
  <si>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</si>
  <si>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</si>
  <si>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</si>
  <si>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</si>
  <si>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</si>
  <si>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</si>
  <si>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</si>
  <si>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</si>
  <si>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</si>
  <si>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</si>
  <si>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</si>
  <si>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</si>
  <si>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</si>
  <si>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</si>
  <si>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</si>
  <si>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</si>
  <si>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</si>
  <si>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</si>
  <si>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</si>
  <si>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</si>
  <si>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</si>
  <si>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</si>
  <si>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</si>
  <si>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</si>
  <si>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</si>
  <si>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</si>
  <si>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</si>
  <si>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</si>
  <si>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</si>
  <si>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</si>
  <si>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</si>
  <si>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</si>
  <si>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</si>
  <si>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</si>
  <si>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</si>
  <si>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</si>
  <si>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</si>
  <si>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</si>
  <si>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</si>
  <si>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</si>
  <si>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</si>
  <si>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</si>
  <si>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</si>
  <si>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</si>
  <si>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</si>
  <si>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</si>
  <si>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</si>
  <si>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</si>
  <si>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</si>
  <si>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</si>
  <si>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</si>
  <si>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</si>
  <si>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</si>
  <si>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</si>
  <si>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</si>
  <si>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</si>
  <si>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</si>
  <si>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</si>
  <si>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</si>
  <si>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</si>
  <si>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</si>
  <si>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</si>
  <si>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</si>
  <si>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</si>
  <si>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</si>
  <si>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</si>
  <si>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</si>
  <si>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</si>
  <si>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</si>
  <si>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</si>
  <si>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</si>
  <si>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</si>
  <si>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</si>
  <si>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</si>
  <si>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</si>
  <si>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</si>
  <si>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</si>
  <si>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</si>
  <si>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</si>
  <si>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</si>
  <si>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</si>
  <si>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</si>
  <si>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</si>
  <si>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</si>
  <si>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</si>
  <si>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</si>
  <si>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</si>
  <si>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</si>
  <si>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</si>
  <si>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</si>
  <si>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</si>
  <si>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</si>
  <si>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</si>
  <si>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</si>
  <si>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</si>
  <si>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</si>
  <si>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</si>
  <si>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</si>
  <si>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</si>
  <si>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</si>
  <si>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</si>
  <si>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</si>
  <si>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</si>
  <si>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</si>
  <si>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</si>
  <si>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</si>
  <si>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</si>
  <si>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</si>
  <si>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</si>
  <si>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</si>
  <si>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</si>
  <si>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</si>
  <si>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</si>
  <si>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</si>
  <si>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</si>
  <si>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</si>
  <si>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</si>
  <si>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</si>
  <si>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</si>
  <si>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</si>
  <si>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</si>
  <si>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</si>
  <si>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</si>
  <si>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</si>
  <si>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</si>
  <si>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</si>
  <si>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</si>
  <si>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</si>
  <si>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</si>
  <si>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</si>
  <si>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</si>
  <si>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</si>
  <si>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</si>
  <si>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</si>
  <si>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</si>
  <si>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</si>
  <si>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</si>
  <si>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</si>
  <si>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</si>
  <si>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</si>
  <si>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</si>
  <si>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</si>
  <si>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</si>
  <si>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</si>
  <si>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</si>
  <si>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</si>
  <si>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</si>
  <si>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</si>
  <si>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</si>
  <si>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</si>
  <si>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</si>
  <si>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</si>
  <si>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</si>
  <si>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</si>
  <si>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</si>
  <si>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</si>
  <si>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</si>
  <si>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</si>
  <si>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</si>
  <si>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</si>
  <si>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</si>
  <si>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</si>
  <si>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</si>
  <si>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</si>
  <si>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</si>
  <si>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</si>
  <si>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</si>
  <si>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</si>
  <si>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</si>
  <si>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</si>
  <si>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</si>
  <si>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</si>
  <si>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</si>
  <si>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</si>
  <si>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</si>
  <si>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</si>
  <si>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</si>
  <si>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</si>
  <si>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</si>
  <si>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</si>
  <si>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</si>
  <si>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</si>
  <si>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</si>
  <si>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</si>
  <si>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</si>
  <si>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</si>
  <si>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</si>
  <si>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</si>
  <si>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</si>
  <si>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</si>
  <si>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</si>
  <si>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</si>
  <si>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</si>
  <si>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</si>
  <si>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</si>
  <si>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</si>
  <si>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</si>
  <si>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</si>
  <si>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</si>
  <si>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</si>
  <si>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</si>
  <si>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</si>
  <si>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</si>
  <si>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</si>
  <si>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</si>
  <si>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</si>
  <si>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</si>
  <si>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</si>
  <si>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</si>
  <si>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</si>
  <si>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</si>
  <si>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</si>
  <si>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</si>
  <si>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</si>
  <si>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</si>
  <si>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</si>
  <si>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</si>
  <si>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</si>
  <si>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</si>
  <si>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</si>
  <si>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</si>
  <si>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</si>
  <si>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</si>
  <si>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</si>
  <si>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</si>
  <si>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</si>
  <si>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</si>
  <si>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</si>
  <si>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</si>
  <si>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</si>
  <si>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</si>
  <si>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</si>
  <si>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</si>
  <si>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</si>
  <si>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</si>
  <si>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</si>
  <si>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</si>
  <si>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</si>
  <si>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</si>
  <si>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</si>
  <si>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</si>
  <si>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</si>
  <si>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</si>
  <si>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</si>
  <si>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</si>
  <si>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</si>
  <si>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</si>
  <si>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</si>
  <si>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</si>
  <si>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</si>
  <si>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</si>
  <si>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</si>
  <si>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</si>
  <si>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</si>
  <si>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</si>
  <si>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</si>
  <si>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</si>
  <si>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</si>
  <si>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</si>
  <si>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</si>
  <si>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</si>
  <si>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</si>
  <si>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</si>
  <si>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</si>
  <si>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</si>
  <si>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</si>
  <si>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</si>
  <si>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</si>
  <si>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</si>
  <si>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</si>
  <si>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</si>
  <si>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</si>
  <si>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</si>
  <si>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</si>
  <si>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</si>
  <si>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</si>
  <si>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</si>
  <si>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</si>
  <si>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</si>
  <si>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</si>
  <si>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</si>
  <si>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</si>
  <si>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</si>
  <si>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</si>
  <si>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</si>
  <si>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</si>
  <si>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</si>
  <si>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</si>
  <si>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</si>
  <si>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</si>
  <si>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</si>
  <si>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</si>
  <si>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</si>
  <si>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</si>
  <si>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</si>
  <si>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</si>
  <si>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</si>
  <si>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</si>
  <si>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</si>
  <si>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</si>
  <si>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</si>
  <si>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</si>
  <si>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</si>
  <si>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</si>
  <si>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</si>
  <si>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</si>
  <si>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</si>
  <si>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</si>
  <si>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</si>
  <si>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</si>
  <si>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</si>
  <si>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</si>
  <si>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</si>
  <si>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</si>
  <si>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</si>
  <si>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</si>
  <si>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</si>
  <si>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</si>
  <si>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</si>
  <si>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</si>
  <si>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</si>
  <si>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</si>
  <si>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</si>
  <si>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</si>
  <si>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</si>
  <si>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</si>
  <si>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</si>
  <si>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</si>
  <si>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</si>
  <si>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</si>
  <si>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</si>
  <si>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</si>
  <si>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</si>
  <si>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</si>
  <si>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</si>
  <si>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</si>
  <si>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</si>
  <si>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</si>
  <si>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</si>
  <si>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</si>
  <si>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</si>
  <si>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</si>
  <si>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</si>
  <si>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</si>
  <si>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</si>
  <si>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</si>
  <si>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</si>
  <si>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</si>
  <si>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</si>
  <si>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</si>
  <si>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</si>
  <si>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</si>
  <si>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</si>
  <si>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</si>
  <si>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</si>
  <si>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</si>
  <si>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</si>
  <si>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</si>
  <si>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</si>
  <si>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</si>
  <si>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</si>
  <si>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</si>
  <si>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</si>
  <si>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</si>
  <si>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</si>
  <si>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</si>
  <si>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</si>
  <si>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</si>
  <si>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</si>
  <si>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</si>
  <si>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</si>
  <si>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</si>
  <si>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</si>
  <si>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</si>
  <si>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</si>
  <si>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</si>
  <si>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</si>
  <si>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</si>
  <si>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</si>
  <si>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</si>
  <si>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</si>
  <si>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</si>
  <si>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</si>
  <si>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</si>
  <si>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</si>
  <si>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</si>
  <si>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</si>
  <si>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</si>
  <si>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</si>
  <si>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</si>
  <si>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</si>
  <si>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</si>
  <si>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</si>
  <si>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</si>
  <si>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</si>
  <si>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</si>
  <si>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</si>
  <si>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</si>
  <si>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</si>
  <si>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</si>
  <si>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</si>
  <si>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</si>
  <si>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</si>
  <si>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</si>
  <si>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</si>
  <si>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</si>
  <si>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</si>
  <si>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</si>
  <si>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</si>
  <si>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</si>
  <si>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</si>
  <si>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</si>
  <si>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</si>
  <si>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</si>
  <si>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</si>
  <si>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</si>
  <si>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</si>
  <si>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</si>
  <si>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</si>
  <si>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</si>
  <si>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</si>
  <si>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</si>
  <si>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</si>
  <si>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</si>
  <si>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</si>
  <si>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</si>
  <si>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</si>
  <si>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</si>
  <si>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</si>
  <si>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</si>
  <si>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</si>
  <si>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</si>
  <si>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</si>
  <si>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</si>
  <si>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</si>
  <si>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</si>
  <si>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</si>
  <si>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</si>
  <si>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</si>
  <si>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</si>
  <si>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</si>
  <si>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</si>
  <si>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</si>
  <si>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</si>
  <si>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</si>
  <si>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</si>
  <si>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</si>
  <si>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</si>
  <si>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</si>
  <si>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</si>
  <si>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</si>
  <si>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</si>
  <si>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</si>
  <si>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</si>
  <si>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</si>
  <si>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</si>
  <si>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</si>
  <si>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</si>
  <si>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</si>
  <si>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</si>
  <si>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</si>
  <si>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</si>
  <si>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</si>
  <si>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</si>
  <si>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</si>
  <si>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</si>
  <si>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</si>
  <si>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</si>
  <si>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</si>
  <si>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</si>
  <si>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</si>
  <si>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</si>
  <si>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</si>
  <si>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</si>
  <si>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</si>
  <si>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</si>
  <si>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</si>
  <si>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</si>
  <si>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</si>
  <si>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</si>
  <si>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</si>
  <si>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</si>
  <si>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</si>
  <si>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</si>
  <si>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</si>
  <si>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</si>
  <si>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</si>
  <si>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</si>
  <si>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</si>
  <si>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</si>
  <si>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</si>
  <si>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</si>
  <si>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</si>
  <si>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</si>
  <si>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</si>
  <si>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</si>
  <si>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</si>
  <si>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</si>
  <si>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</si>
  <si>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</si>
  <si>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</si>
  <si>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</si>
  <si>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</si>
  <si>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</si>
  <si>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</si>
  <si>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</si>
  <si>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</si>
  <si>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</si>
  <si>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</si>
  <si>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</si>
  <si>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</si>
  <si>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</si>
  <si>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</si>
  <si>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</si>
  <si>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</si>
  <si>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</si>
  <si>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</si>
  <si>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</si>
  <si>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</si>
  <si>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</si>
  <si>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</si>
  <si>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</si>
  <si>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</si>
  <si>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</si>
  <si>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</si>
  <si>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</si>
  <si>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</si>
  <si>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</si>
  <si>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</si>
  <si>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</si>
  <si>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</si>
  <si>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</si>
  <si>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</si>
  <si>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</si>
  <si>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</si>
  <si>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</si>
  <si>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</si>
  <si>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</si>
  <si>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</si>
  <si>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</si>
  <si>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</si>
  <si>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</si>
  <si>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</si>
  <si>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</si>
  <si>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</si>
  <si>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</si>
  <si>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</si>
  <si>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</si>
  <si>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</si>
  <si>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</si>
  <si>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</si>
  <si>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</si>
  <si>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</si>
  <si>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</si>
  <si>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</si>
  <si>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</si>
  <si>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</si>
  <si>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</si>
  <si>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</si>
  <si>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</si>
  <si>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</si>
  <si>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</si>
  <si>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</si>
  <si>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</si>
  <si>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</si>
  <si>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</si>
  <si>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</si>
  <si>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</si>
  <si>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</si>
  <si>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</si>
  <si>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</si>
  <si>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</si>
  <si>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</si>
  <si>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</si>
  <si>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</si>
  <si>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</si>
  <si>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</si>
  <si>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</si>
  <si>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</si>
  <si>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</si>
  <si>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</si>
  <si>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</si>
  <si>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</si>
  <si>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</si>
  <si>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</si>
  <si>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</si>
  <si>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</si>
  <si>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</si>
  <si>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</si>
  <si>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</si>
  <si>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</si>
  <si>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</si>
  <si>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</si>
  <si>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</si>
  <si>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</si>
  <si>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</si>
  <si>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</si>
  <si>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</si>
  <si>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</si>
  <si>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</si>
  <si>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</si>
  <si>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</si>
  <si>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</si>
  <si>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</si>
  <si>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</si>
  <si>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</si>
  <si>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</si>
  <si>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</si>
  <si>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</si>
  <si>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</si>
  <si>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</si>
  <si>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</si>
  <si>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</si>
  <si>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</si>
  <si>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</si>
  <si>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</si>
  <si>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</si>
  <si>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</si>
  <si>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</si>
  <si>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</si>
  <si>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</si>
  <si>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</si>
  <si>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</si>
  <si>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</si>
  <si>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</si>
  <si>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</si>
  <si>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</si>
  <si>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</si>
  <si>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</si>
  <si>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</si>
  <si>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</si>
  <si>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</si>
  <si>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</si>
  <si>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</si>
  <si>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</si>
  <si>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</si>
  <si>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</si>
  <si>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</si>
  <si>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</si>
  <si>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</si>
  <si>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</si>
  <si>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</si>
  <si>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</si>
  <si>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</si>
  <si>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</si>
  <si>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</si>
  <si>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</si>
  <si>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</si>
  <si>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</si>
  <si>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</si>
  <si>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</si>
  <si>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</si>
  <si>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</si>
  <si>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</si>
  <si>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</si>
  <si>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</si>
  <si>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</si>
  <si>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</si>
  <si>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</si>
  <si>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</si>
  <si>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</si>
  <si>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</si>
  <si>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</si>
  <si>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</si>
  <si>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</si>
  <si>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</si>
  <si>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</si>
  <si>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</si>
  <si>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</si>
  <si>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</si>
  <si>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</si>
  <si>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</si>
  <si>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</si>
  <si>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</si>
  <si>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</si>
  <si>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</si>
  <si>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</si>
  <si>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</si>
  <si>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</si>
  <si>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</si>
  <si>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</si>
  <si>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</si>
  <si>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</si>
  <si>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</si>
  <si>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</si>
  <si>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</si>
  <si>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</si>
  <si>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</si>
  <si>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</si>
  <si>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</si>
  <si>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</si>
  <si>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</si>
  <si>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</si>
  <si>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</si>
  <si>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</si>
  <si>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</si>
  <si>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</si>
  <si>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</si>
  <si>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</si>
  <si>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</si>
  <si>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</si>
  <si>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</si>
  <si>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</si>
  <si>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</si>
  <si>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</si>
  <si>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</si>
  <si>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</si>
  <si>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</si>
  <si>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</si>
  <si>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</si>
  <si>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</si>
  <si>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</si>
  <si>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</si>
  <si>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</si>
  <si>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</si>
  <si>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</si>
  <si>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</si>
  <si>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</si>
  <si>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</si>
  <si>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</si>
  <si>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</si>
  <si>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</si>
  <si>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</si>
  <si>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</si>
  <si>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</si>
  <si>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</si>
  <si>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</si>
  <si>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</si>
  <si>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</si>
  <si>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</si>
  <si>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</si>
  <si>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</si>
  <si>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</si>
  <si>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</si>
  <si>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</si>
  <si>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</si>
  <si>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</si>
  <si>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</si>
  <si>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</si>
  <si>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</si>
  <si>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</si>
  <si>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</si>
  <si>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</si>
  <si>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</si>
  <si>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</si>
  <si>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</si>
  <si>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</si>
  <si>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</si>
  <si>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</si>
  <si>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</si>
  <si>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</si>
  <si>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</si>
  <si>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</si>
  <si>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</si>
  <si>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</si>
  <si>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</si>
  <si>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</si>
  <si>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</si>
  <si>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</si>
  <si>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</si>
  <si>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</si>
  <si>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</si>
  <si>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</si>
  <si>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</si>
  <si>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</si>
  <si>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</si>
  <si>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</si>
  <si>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</si>
  <si>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</si>
  <si>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</si>
  <si>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</si>
  <si>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</si>
  <si>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</si>
  <si>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</si>
  <si>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</si>
  <si>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</si>
  <si>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</si>
  <si>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</si>
  <si>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</si>
  <si>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</si>
  <si>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</si>
  <si>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</si>
  <si>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</si>
  <si>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</si>
  <si>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</si>
  <si>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</si>
  <si>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</si>
  <si>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</si>
  <si>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</si>
  <si>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</si>
  <si>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</si>
  <si>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</si>
  <si>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</si>
  <si>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</si>
  <si>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</si>
  <si>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</si>
  <si>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</si>
  <si>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</si>
  <si>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</si>
  <si>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</si>
  <si>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</si>
  <si>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</si>
  <si>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</si>
  <si>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</si>
  <si>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</si>
  <si>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</si>
  <si>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</si>
  <si>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</si>
  <si>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</si>
  <si>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</si>
  <si>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</si>
  <si>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</si>
  <si>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</si>
  <si>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</si>
  <si>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</si>
  <si>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</si>
  <si>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</si>
  <si>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</si>
  <si>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</si>
  <si>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</si>
  <si>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</si>
  <si>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</si>
  <si>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</si>
  <si>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</si>
  <si>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</si>
  <si>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</si>
  <si>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</si>
  <si>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</si>
  <si>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</si>
  <si>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</si>
  <si>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</si>
  <si>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</si>
  <si>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</si>
  <si>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</si>
  <si>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</si>
  <si>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</si>
  <si>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</si>
  <si>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</si>
  <si>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</si>
  <si>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</si>
  <si>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</si>
  <si>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</si>
  <si>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</si>
  <si>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</si>
  <si>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</si>
  <si>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</si>
  <si>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</si>
  <si>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</si>
  <si>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</si>
  <si>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</si>
  <si>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</si>
  <si>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</si>
  <si>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</si>
  <si>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</si>
  <si>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</si>
  <si>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</si>
  <si>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</si>
  <si>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</si>
  <si>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</si>
  <si>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</si>
  <si>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</si>
  <si>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</si>
  <si>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</si>
  <si>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</si>
  <si>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</si>
  <si>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</si>
  <si>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</si>
  <si>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</si>
  <si>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</si>
  <si>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</si>
  <si>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</si>
  <si>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</si>
  <si>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</si>
  <si>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</si>
  <si>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</si>
  <si>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</si>
  <si>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</si>
  <si>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</si>
  <si>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</si>
  <si>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</si>
  <si>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</si>
  <si>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</si>
  <si>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</si>
  <si>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</si>
  <si>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</si>
  <si>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</si>
  <si>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</si>
  <si>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</si>
  <si>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</si>
  <si>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</si>
  <si>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</si>
  <si>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</si>
  <si>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</si>
  <si>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</si>
  <si>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</si>
  <si>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</si>
  <si>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</si>
  <si>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</si>
  <si>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</si>
  <si>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</si>
  <si>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</si>
  <si>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</si>
  <si>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</si>
  <si>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</si>
  <si>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</si>
  <si>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</si>
  <si>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</si>
  <si>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</si>
  <si>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</si>
  <si>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</si>
  <si>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</si>
  <si>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</si>
  <si>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</si>
  <si>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</si>
  <si>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</si>
  <si>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</si>
  <si>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</si>
  <si>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</si>
  <si>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</si>
  <si>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</si>
  <si>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</si>
  <si>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</si>
  <si>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</si>
  <si>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</si>
  <si>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</si>
  <si>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</si>
  <si>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</si>
  <si>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</si>
  <si>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</si>
  <si>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</si>
  <si>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</si>
  <si>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</si>
  <si>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</si>
  <si>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</si>
  <si>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</si>
  <si>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</si>
  <si>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</si>
  <si>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</si>
  <si>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</si>
  <si>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</si>
  <si>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</si>
  <si>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</si>
  <si>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</si>
  <si>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</si>
  <si>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</si>
  <si>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</si>
  <si>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</si>
  <si>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</si>
  <si>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</si>
  <si>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</si>
  <si>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</si>
  <si>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</si>
  <si>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</si>
  <si>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</si>
  <si>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</si>
  <si>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</si>
  <si>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</si>
  <si>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</si>
  <si>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</si>
  <si>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</si>
  <si>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</si>
  <si>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</si>
  <si>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</si>
  <si>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</si>
  <si>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</si>
  <si>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</si>
  <si>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</si>
  <si>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</si>
  <si>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</si>
  <si>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</si>
  <si>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</si>
  <si>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</si>
  <si>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</si>
  <si>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</si>
  <si>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</si>
  <si>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</si>
  <si>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</si>
  <si>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</si>
  <si>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</si>
  <si>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</si>
  <si>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</si>
  <si>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</si>
  <si>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</si>
  <si>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</si>
  <si>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</si>
  <si>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</si>
  <si>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</si>
  <si>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</si>
  <si>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</si>
  <si>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</si>
  <si>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</si>
  <si>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</si>
  <si>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</si>
  <si>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</si>
  <si>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</si>
  <si>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</si>
  <si>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</si>
  <si>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</si>
  <si>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</si>
  <si>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</si>
  <si>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</si>
  <si>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</si>
  <si>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</si>
  <si>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</si>
  <si>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</si>
  <si>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</si>
  <si>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</si>
  <si>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</si>
  <si>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</si>
  <si>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</si>
  <si>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</si>
  <si>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</si>
  <si>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</si>
  <si>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</si>
  <si>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</si>
  <si>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</si>
  <si>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</si>
  <si>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</si>
  <si>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</si>
  <si>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</si>
  <si>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</si>
  <si>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</si>
  <si>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</si>
  <si>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</si>
  <si>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</si>
  <si>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</si>
  <si>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</si>
  <si>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</si>
  <si>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</si>
  <si>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</si>
  <si>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</si>
  <si>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</si>
  <si>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</si>
  <si>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</si>
  <si>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</si>
  <si>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</si>
  <si>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</si>
  <si>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</si>
  <si>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</si>
  <si>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</si>
  <si>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</si>
  <si>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</si>
  <si>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</si>
  <si>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</si>
  <si>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</si>
  <si>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</si>
  <si>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</si>
  <si>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</si>
  <si>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</si>
  <si>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</si>
  <si>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</si>
  <si>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</si>
  <si>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</si>
  <si>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</si>
  <si>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</si>
  <si>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</si>
  <si>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</si>
  <si>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</si>
  <si>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</si>
  <si>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</si>
  <si>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</si>
  <si>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</si>
  <si>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</si>
  <si>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</si>
  <si>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</si>
  <si>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</si>
  <si>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</si>
  <si>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</si>
  <si>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</si>
  <si>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</si>
  <si>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</si>
  <si>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</si>
  <si>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</si>
  <si>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</si>
  <si>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</si>
  <si>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</si>
  <si>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</si>
  <si>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</si>
  <si>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</si>
  <si>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</si>
  <si>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</si>
  <si>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</si>
  <si>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</si>
  <si>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</si>
  <si>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</si>
  <si>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</si>
  <si>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</si>
  <si>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</si>
  <si>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</si>
  <si>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</si>
  <si>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</si>
  <si>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</si>
  <si>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</si>
  <si>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</si>
  <si>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</si>
  <si>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</si>
  <si>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</si>
  <si>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</si>
  <si>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</si>
  <si>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</si>
  <si>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</si>
  <si>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</si>
  <si>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</si>
  <si>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</si>
  <si>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</si>
  <si>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</si>
  <si>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</si>
  <si>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</si>
  <si>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</si>
  <si>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</si>
  <si>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</si>
  <si>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</si>
  <si>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</si>
  <si>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</si>
  <si>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</si>
  <si>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</si>
  <si>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</si>
  <si>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</si>
  <si>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</si>
  <si>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</si>
  <si>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</si>
  <si>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</si>
  <si>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</si>
  <si>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</si>
  <si>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</si>
  <si>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</si>
  <si>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</si>
  <si>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</si>
  <si>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</si>
  <si>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</si>
  <si>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</si>
  <si>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</si>
  <si>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</si>
  <si>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</si>
  <si>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</si>
  <si>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</si>
  <si>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</si>
  <si>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</si>
  <si>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</si>
  <si>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</si>
  <si>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</si>
  <si>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</si>
  <si>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</si>
  <si>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</si>
  <si>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</si>
  <si>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</si>
  <si>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</si>
  <si>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</si>
  <si>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</si>
  <si>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</si>
  <si>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</si>
  <si>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</si>
  <si>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</si>
  <si>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</si>
  <si>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</si>
  <si>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</si>
  <si>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</si>
  <si>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</si>
  <si>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</si>
  <si>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</si>
  <si>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</si>
  <si>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</si>
  <si>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</si>
  <si>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</si>
  <si>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</si>
  <si>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</si>
  <si>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</si>
  <si>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</si>
  <si>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</si>
  <si>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</si>
  <si>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</si>
  <si>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</si>
  <si>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</si>
  <si>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</si>
  <si>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</si>
  <si>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</si>
  <si>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</si>
  <si>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</si>
  <si>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</si>
  <si>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</si>
  <si>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</si>
  <si>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</si>
  <si>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</si>
  <si>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</si>
  <si>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</si>
  <si>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</si>
  <si>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</si>
  <si>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</si>
  <si>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</si>
  <si>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</si>
  <si>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</si>
  <si>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</si>
  <si>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</si>
  <si>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</si>
  <si>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</si>
  <si>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</si>
  <si>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</si>
  <si>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</si>
  <si>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</si>
  <si>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</si>
  <si>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</si>
  <si>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</si>
  <si>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</si>
  <si>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</si>
  <si>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</si>
  <si>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</si>
  <si>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</si>
  <si>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</si>
  <si>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</si>
  <si>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</si>
  <si>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</si>
  <si>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</si>
  <si>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</si>
  <si>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</si>
  <si>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</si>
  <si>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</si>
  <si>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</si>
  <si>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</si>
  <si>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</si>
  <si>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</si>
  <si>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</si>
  <si>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</si>
  <si>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</si>
  <si>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</si>
  <si>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</si>
  <si>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</si>
  <si>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</si>
  <si>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</si>
  <si>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</si>
  <si>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</si>
  <si>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</si>
  <si>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</si>
  <si>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</si>
  <si>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</si>
  <si>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</si>
  <si>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</si>
  <si>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</si>
  <si>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</si>
  <si>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</si>
  <si>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</si>
  <si>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</si>
  <si>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</si>
  <si>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</si>
  <si>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</si>
  <si>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</si>
  <si>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</si>
  <si>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</si>
  <si>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</si>
  <si>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</si>
  <si>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</si>
  <si>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</si>
  <si>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</si>
  <si>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</si>
  <si>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</si>
  <si>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</si>
  <si>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</si>
  <si>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</si>
  <si>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</si>
  <si>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</si>
  <si>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</si>
  <si>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</si>
  <si>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</si>
  <si>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</si>
  <si>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</si>
  <si>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</si>
  <si>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</si>
  <si>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</si>
  <si>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</si>
  <si>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</si>
  <si>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</si>
  <si>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</si>
  <si>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</si>
  <si>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</si>
  <si>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</si>
  <si>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</si>
  <si>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</si>
  <si>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</si>
  <si>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</si>
  <si>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</si>
  <si>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</si>
  <si>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</si>
  <si>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</si>
  <si>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</si>
  <si>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</si>
  <si>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</si>
  <si>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</si>
  <si>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</si>
  <si>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</si>
  <si>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</si>
  <si>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</si>
  <si>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</si>
  <si>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</si>
  <si>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</si>
  <si>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</si>
  <si>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</si>
  <si>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</si>
  <si>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</si>
  <si>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</si>
  <si>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</si>
  <si>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</si>
  <si>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</si>
  <si>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</si>
  <si>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</si>
  <si>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</si>
  <si>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</si>
  <si>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</si>
  <si>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</si>
  <si>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</si>
  <si>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</si>
  <si>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</si>
  <si>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</si>
  <si>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</si>
  <si>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</si>
  <si>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</si>
  <si>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</si>
  <si>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</si>
  <si>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</si>
  <si>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</si>
  <si>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</si>
  <si>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</si>
  <si>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</si>
  <si>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</si>
  <si>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</si>
  <si>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</si>
  <si>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</si>
  <si>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</si>
  <si>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</si>
  <si>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</si>
  <si>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</si>
  <si>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</si>
  <si>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</si>
  <si>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</si>
  <si>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</si>
  <si>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</si>
  <si>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</si>
  <si>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</si>
  <si>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</si>
  <si>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</si>
  <si>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</si>
  <si>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</si>
  <si>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</si>
  <si>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</si>
  <si>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</si>
  <si>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</si>
  <si>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</si>
  <si>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</si>
  <si>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</si>
  <si>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</si>
  <si>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</si>
  <si>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</si>
  <si>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</si>
  <si>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</si>
  <si>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</si>
  <si>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</si>
  <si>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</si>
  <si>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</si>
  <si>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</si>
  <si>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</si>
  <si>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</si>
  <si>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</si>
  <si>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</si>
  <si>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</si>
  <si>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</si>
  <si>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</si>
  <si>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</si>
  <si>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</si>
  <si>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</si>
  <si>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</si>
  <si>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</si>
  <si>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</si>
  <si>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</si>
  <si>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</si>
  <si>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</si>
  <si>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</si>
  <si>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</si>
  <si>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</si>
  <si>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</si>
  <si>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</si>
  <si>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</si>
  <si>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</si>
  <si>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</si>
  <si>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</si>
  <si>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</si>
  <si>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</si>
  <si>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</si>
  <si>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</si>
  <si>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</si>
  <si>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</si>
  <si>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</si>
  <si>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</si>
  <si>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</si>
  <si>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</si>
  <si>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</si>
  <si>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</si>
  <si>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</si>
  <si>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</si>
  <si>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</si>
  <si>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</si>
  <si>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</si>
  <si>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</si>
  <si>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</si>
  <si>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</si>
  <si>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</si>
  <si>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</si>
  <si>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</si>
  <si>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</si>
  <si>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</si>
  <si>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</si>
  <si>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</si>
  <si>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</si>
  <si>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</si>
  <si>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</si>
  <si>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</si>
  <si>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</si>
  <si>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</si>
  <si>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</si>
  <si>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</si>
  <si>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</si>
  <si>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</si>
  <si>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</si>
  <si>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</si>
  <si>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</si>
  <si>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</si>
  <si>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</si>
  <si>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</si>
  <si>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</si>
  <si>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</si>
  <si>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</si>
  <si>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</si>
  <si>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</si>
  <si>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</si>
  <si>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</si>
  <si>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</si>
  <si>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</si>
  <si>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</si>
  <si>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</si>
  <si>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</si>
  <si>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</si>
  <si>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</si>
  <si>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</si>
  <si>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</si>
  <si>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</si>
  <si>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</si>
  <si>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</si>
  <si>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</si>
  <si>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</si>
  <si>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</si>
  <si>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</si>
  <si>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</si>
  <si>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</si>
  <si>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</si>
  <si>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</si>
  <si>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</si>
  <si>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</si>
  <si>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</si>
  <si>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</si>
  <si>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</si>
  <si>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</si>
  <si>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</si>
  <si>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</si>
  <si>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</si>
  <si>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</si>
  <si>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</si>
  <si>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</si>
  <si>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</si>
  <si>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</si>
  <si>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</si>
  <si>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</si>
  <si>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</si>
  <si>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</si>
  <si>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</si>
  <si>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</si>
  <si>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</si>
  <si>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</si>
  <si>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</si>
  <si>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</si>
  <si>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</si>
  <si>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</si>
  <si>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</si>
  <si>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</si>
  <si>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</si>
  <si>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</si>
  <si>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</si>
  <si>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</si>
  <si>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</si>
  <si>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</si>
  <si>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</si>
  <si>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</si>
  <si>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</si>
  <si>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</si>
  <si>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</si>
  <si>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</si>
  <si>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</si>
  <si>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</si>
  <si>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</si>
  <si>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</si>
  <si>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</si>
  <si>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</si>
  <si>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</si>
  <si>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</si>
  <si>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</si>
  <si>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</si>
  <si>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</si>
  <si>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</si>
  <si>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</si>
  <si>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</si>
  <si>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</si>
  <si>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</si>
  <si>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</si>
  <si>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</si>
  <si>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</si>
  <si>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</si>
  <si>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</si>
  <si>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</si>
  <si>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</si>
  <si>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</si>
  <si>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</si>
  <si>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</si>
  <si>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</si>
  <si>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</si>
  <si>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</si>
  <si>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</si>
  <si>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</si>
  <si>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</si>
  <si>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</si>
  <si>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</si>
  <si>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</si>
  <si>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</si>
  <si>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</si>
  <si>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</si>
  <si>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</si>
  <si>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</si>
  <si>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</si>
  <si>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</si>
  <si>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</si>
  <si>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</si>
  <si>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</si>
  <si>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</si>
  <si>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</si>
  <si>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</si>
  <si>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</si>
  <si>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</si>
  <si>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</si>
  <si>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</si>
  <si>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</si>
  <si>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</si>
  <si>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</si>
  <si>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</si>
  <si>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</si>
  <si>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</si>
  <si>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</si>
  <si>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</si>
  <si>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</si>
  <si>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</si>
  <si>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</si>
  <si>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</si>
  <si>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</si>
  <si>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</si>
  <si>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</si>
  <si>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</si>
  <si>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</si>
  <si>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</si>
  <si>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</si>
  <si>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</si>
  <si>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</si>
  <si>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</si>
  <si>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</si>
  <si>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</si>
  <si>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</si>
  <si>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</si>
  <si>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</si>
  <si>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</si>
  <si>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</si>
  <si>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</si>
  <si>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</si>
  <si>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</si>
  <si>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</si>
  <si>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</si>
  <si>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</si>
  <si>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</si>
  <si>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</si>
  <si>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</si>
  <si>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</si>
  <si>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</si>
  <si>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</si>
  <si>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</si>
  <si>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</si>
  <si>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</si>
  <si>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</si>
  <si>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</si>
  <si>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</si>
  <si>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</si>
  <si>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</si>
  <si>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</si>
  <si>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</si>
  <si>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</si>
  <si>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</si>
  <si>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</si>
  <si>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</si>
  <si>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</si>
  <si>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</si>
  <si>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</si>
  <si>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</si>
  <si>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</si>
  <si>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</si>
  <si>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</si>
  <si>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</si>
  <si>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</si>
  <si>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</si>
  <si>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</si>
  <si>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</si>
  <si>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</si>
  <si>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</si>
  <si>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</si>
  <si>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</si>
  <si>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</si>
  <si>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</si>
  <si>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</si>
  <si>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</si>
  <si>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</si>
  <si>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</si>
  <si>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</si>
  <si>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</si>
  <si>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</si>
  <si>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</si>
  <si>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</si>
  <si>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</si>
  <si>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</si>
  <si>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</si>
  <si>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</si>
  <si>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</si>
  <si>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</si>
  <si>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</si>
  <si>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</si>
  <si>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</si>
  <si>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</si>
  <si>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</si>
  <si>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</si>
  <si>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</si>
  <si>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</si>
  <si>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</si>
  <si>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</si>
  <si>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</si>
  <si>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</si>
  <si>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</si>
  <si>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</si>
  <si>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</si>
  <si>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</si>
  <si>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</si>
  <si>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</si>
  <si>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</si>
  <si>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</si>
  <si>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</si>
  <si>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</si>
  <si>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</si>
  <si>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</si>
  <si>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</si>
  <si>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</si>
  <si>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</si>
  <si>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</si>
  <si>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</si>
  <si>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</si>
  <si>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</si>
  <si>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</si>
  <si>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</si>
  <si>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</si>
  <si>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</si>
  <si>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</si>
  <si>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</si>
  <si>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</si>
  <si>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</si>
  <si>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</si>
  <si>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</si>
  <si>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</si>
  <si>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</si>
  <si>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</si>
  <si>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</si>
  <si>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</si>
  <si>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</si>
  <si>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</si>
  <si>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</si>
  <si>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</si>
  <si>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</si>
  <si>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</si>
  <si>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</si>
  <si>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</si>
  <si>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</si>
  <si>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</si>
  <si>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</si>
  <si>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</si>
  <si>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</si>
  <si>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</si>
  <si>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</si>
  <si>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</si>
  <si>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</si>
  <si>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</si>
  <si>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</si>
  <si>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</si>
  <si>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</si>
  <si>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</si>
  <si>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</si>
  <si>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</si>
  <si>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</si>
  <si>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</si>
  <si>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</si>
  <si>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</si>
  <si>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</si>
  <si>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</si>
  <si>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</si>
  <si>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</si>
  <si>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</si>
  <si>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</si>
  <si>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</si>
  <si>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</si>
  <si>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</si>
  <si>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</si>
  <si>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</si>
  <si>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</si>
  <si>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</si>
  <si>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</si>
  <si>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</si>
  <si>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</si>
  <si>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</si>
  <si>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</si>
  <si>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</si>
  <si>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</si>
  <si>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</si>
  <si>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</si>
  <si>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</si>
  <si>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</si>
  <si>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</si>
  <si>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</si>
  <si>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</si>
  <si>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</si>
  <si>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</si>
  <si>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</si>
  <si>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</si>
  <si>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</si>
  <si>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</si>
  <si>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</si>
  <si>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</si>
  <si>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</si>
  <si>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</si>
  <si>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</si>
  <si>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</si>
  <si>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</si>
  <si>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</si>
  <si>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</si>
  <si>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</si>
  <si>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</si>
  <si>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</si>
  <si>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</si>
  <si>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</si>
  <si>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</si>
  <si>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</si>
  <si>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</si>
  <si>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</si>
  <si>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</si>
  <si>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</si>
  <si>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</si>
  <si>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</si>
  <si>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</si>
  <si>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</si>
  <si>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</si>
  <si>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</si>
  <si>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</si>
  <si>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</si>
  <si>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</si>
  <si>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</si>
  <si>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</si>
  <si>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</si>
  <si>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</si>
  <si>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</si>
  <si>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</si>
  <si>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</si>
  <si>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</si>
  <si>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</si>
  <si>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</si>
  <si>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</si>
  <si>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</si>
  <si>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</si>
  <si>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</si>
  <si>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</si>
  <si>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</si>
  <si>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</si>
  <si>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</si>
  <si>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</si>
  <si>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</si>
  <si>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</si>
  <si>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</si>
  <si>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</si>
  <si>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</si>
  <si>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</si>
  <si>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</si>
  <si>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</si>
  <si>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</si>
  <si>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</si>
  <si>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</si>
  <si>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</si>
  <si>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</si>
  <si>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</si>
  <si>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</si>
  <si>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</si>
  <si>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</si>
  <si>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</si>
  <si>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</si>
  <si>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</si>
  <si>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</si>
  <si>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</si>
  <si>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</si>
  <si>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</si>
  <si>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</si>
  <si>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</si>
  <si>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</si>
  <si>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</si>
  <si>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</si>
  <si>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</si>
  <si>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</si>
  <si>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</si>
  <si>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</si>
  <si>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</si>
  <si>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</si>
  <si>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</si>
  <si>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</si>
  <si>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</si>
  <si>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</si>
  <si>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</si>
  <si>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</si>
  <si>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</si>
  <si>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</si>
  <si>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</si>
  <si>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</si>
  <si>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</si>
  <si>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</si>
  <si>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</si>
  <si>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</si>
  <si>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</si>
  <si>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</si>
  <si>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</si>
  <si>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</si>
  <si>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</si>
  <si>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</si>
  <si>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</si>
  <si>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</si>
  <si>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</si>
  <si>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</si>
  <si>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</si>
  <si>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</si>
  <si>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</si>
  <si>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</si>
  <si>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</si>
  <si>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</si>
  <si>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</si>
  <si>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</si>
  <si>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</si>
  <si>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</si>
  <si>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</si>
  <si>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</si>
  <si>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</si>
  <si>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</si>
  <si>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</si>
  <si>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</si>
  <si>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</si>
  <si>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</si>
  <si>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</si>
  <si>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</si>
  <si>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</si>
  <si>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</si>
  <si>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</si>
  <si>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</si>
  <si>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</si>
  <si>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</si>
  <si>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</si>
  <si>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</si>
  <si>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</si>
  <si>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</si>
  <si>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</si>
  <si>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</si>
  <si>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</si>
  <si>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</si>
  <si>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</si>
  <si>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</si>
  <si>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</si>
  <si>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</si>
  <si>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</si>
  <si>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</si>
  <si>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</si>
  <si>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</si>
  <si>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</si>
  <si>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</si>
  <si>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</si>
  <si>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</si>
  <si>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</si>
  <si>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</si>
  <si>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</si>
  <si>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</si>
  <si>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</si>
  <si>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</si>
  <si>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</si>
  <si>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</si>
  <si>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</si>
  <si>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</si>
  <si>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</si>
  <si>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</si>
  <si>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</si>
  <si>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</si>
  <si>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</si>
  <si>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</si>
  <si>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</si>
  <si>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</si>
  <si>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</si>
  <si>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</si>
  <si>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</si>
  <si>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</si>
  <si>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</si>
  <si>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</si>
  <si>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</si>
  <si>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</si>
  <si>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</si>
  <si>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</si>
  <si>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</si>
  <si>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</si>
  <si>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</si>
  <si>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</si>
  <si>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</si>
  <si>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</si>
  <si>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</si>
  <si>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</si>
  <si>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</si>
  <si>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</si>
  <si>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</si>
  <si>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</si>
  <si>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</si>
  <si>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</si>
  <si>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</si>
  <si>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</si>
  <si>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</si>
  <si>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</si>
  <si>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</si>
  <si>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</si>
  <si>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</si>
  <si>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</si>
  <si>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</si>
  <si>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</si>
  <si>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</si>
  <si>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</si>
  <si>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</si>
  <si>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</si>
  <si>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</si>
  <si>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</si>
  <si>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</si>
  <si>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</si>
  <si>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</si>
  <si>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</si>
  <si>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</si>
  <si>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</si>
  <si>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</si>
  <si>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</si>
  <si>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</si>
  <si>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</si>
  <si>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</si>
  <si>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</si>
  <si>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</si>
  <si>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</si>
  <si>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</si>
  <si>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</si>
  <si>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</si>
  <si>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</si>
  <si>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</si>
  <si>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</si>
  <si>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</si>
  <si>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</si>
  <si>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</si>
  <si>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</si>
  <si>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</si>
  <si>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</si>
  <si>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</si>
  <si>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</si>
  <si>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</si>
  <si>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</si>
  <si>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</si>
  <si>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</si>
  <si>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</si>
  <si>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</si>
  <si>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</si>
  <si>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</si>
  <si>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</si>
  <si>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</si>
  <si>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</si>
  <si>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</si>
  <si>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</si>
  <si>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</si>
  <si>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</si>
  <si>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</si>
  <si>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</si>
  <si>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</si>
  <si>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</si>
  <si>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</si>
  <si>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</si>
  <si>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</si>
  <si>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</si>
  <si>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</si>
  <si>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</si>
  <si>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</si>
  <si>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</si>
  <si>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</si>
  <si>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</si>
  <si>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</si>
  <si>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</si>
  <si>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</si>
  <si>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</si>
  <si>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</si>
  <si>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</si>
  <si>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</si>
  <si>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</si>
  <si>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</si>
  <si>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</si>
  <si>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</si>
  <si>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</si>
  <si>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</si>
  <si>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</si>
  <si>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</si>
  <si>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</si>
  <si>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</si>
  <si>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</si>
  <si>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</si>
  <si>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</si>
  <si>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</si>
  <si>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</si>
  <si>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</si>
  <si>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</si>
  <si>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</si>
  <si>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</si>
  <si>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</si>
  <si>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</si>
  <si>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</si>
  <si>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</si>
  <si>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</si>
  <si>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</si>
  <si>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</si>
  <si>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</si>
  <si>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</si>
  <si>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</si>
  <si>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</si>
  <si>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</si>
  <si>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</si>
  <si>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</si>
  <si>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</si>
  <si>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</si>
  <si>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</si>
  <si>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</si>
  <si>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</si>
  <si>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</si>
  <si>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</si>
  <si>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</si>
  <si>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</si>
  <si>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</si>
  <si>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</si>
  <si>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</si>
  <si>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</si>
  <si>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</si>
  <si>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</si>
  <si>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</si>
  <si>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</si>
  <si>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</si>
  <si>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</si>
  <si>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</si>
  <si>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</si>
  <si>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</si>
  <si>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</si>
  <si>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</si>
  <si>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</si>
  <si>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</si>
  <si>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</si>
  <si>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</si>
  <si>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</si>
  <si>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</si>
  <si>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</si>
  <si>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</si>
  <si>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</si>
  <si>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</si>
  <si>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</si>
  <si>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</si>
  <si>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</si>
  <si>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</si>
  <si>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</si>
  <si>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</si>
  <si>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</si>
  <si>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</si>
  <si>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</si>
  <si>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</si>
  <si>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</si>
  <si>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</si>
  <si>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</si>
  <si>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</si>
  <si>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</si>
  <si>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</si>
  <si>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</si>
  <si>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</si>
  <si>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</si>
  <si>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</si>
  <si>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</si>
  <si>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</si>
  <si>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</si>
  <si>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</si>
  <si>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</si>
  <si>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</si>
  <si>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</si>
  <si>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</si>
  <si>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</si>
  <si>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</si>
  <si>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</si>
  <si>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</si>
  <si>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</si>
  <si>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</si>
  <si>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</si>
  <si>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</si>
  <si>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</si>
  <si>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</si>
  <si>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</si>
  <si>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</si>
  <si>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</si>
  <si>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</si>
  <si>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</si>
  <si>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</si>
  <si>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</si>
  <si>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</si>
  <si>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</si>
  <si>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</si>
  <si>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</si>
  <si>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</si>
  <si>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</si>
  <si>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</si>
  <si>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</si>
  <si>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</si>
  <si>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</si>
  <si>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</si>
  <si>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</si>
  <si>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</si>
  <si>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</si>
  <si>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</si>
  <si>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</si>
  <si>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</si>
  <si>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</si>
  <si>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</si>
  <si>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</si>
  <si>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</si>
  <si>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</si>
  <si>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</si>
  <si>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</si>
  <si>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</si>
  <si>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</si>
  <si>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</si>
  <si>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</si>
  <si>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</si>
  <si>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</si>
  <si>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</si>
  <si>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</si>
  <si>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</si>
  <si>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</si>
  <si>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</si>
  <si>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</si>
  <si>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</si>
  <si>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</si>
  <si>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</si>
  <si>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</si>
  <si>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</si>
  <si>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</si>
  <si>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</si>
  <si>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</si>
  <si>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</si>
  <si>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</si>
  <si>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</si>
  <si>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</si>
  <si>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</si>
  <si>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</si>
  <si>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</si>
  <si>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</si>
  <si>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</si>
  <si>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</si>
  <si>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</si>
  <si>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</si>
  <si>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</si>
  <si>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</si>
  <si>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</si>
  <si>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</si>
  <si>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</si>
  <si>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</si>
  <si>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</si>
  <si>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</si>
  <si>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</si>
  <si>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</si>
  <si>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</si>
  <si>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</si>
  <si>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</si>
  <si>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</si>
  <si>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</si>
  <si>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</si>
  <si>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</si>
  <si>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</si>
  <si>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</si>
  <si>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</si>
  <si>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</si>
  <si>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</si>
  <si>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</si>
  <si>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</si>
  <si>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</si>
  <si>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</si>
  <si>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</si>
  <si>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</si>
  <si>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</si>
  <si>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</si>
  <si>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</si>
  <si>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</si>
  <si>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</si>
  <si>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</si>
  <si>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</si>
  <si>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</si>
  <si>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</si>
  <si>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</si>
  <si>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</si>
  <si>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</si>
  <si>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</si>
  <si>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</si>
  <si>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</si>
  <si>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</si>
  <si>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</si>
  <si>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</si>
  <si>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</si>
  <si>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</si>
  <si>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</si>
  <si>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</si>
  <si>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</si>
  <si>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</si>
  <si>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</si>
  <si>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</si>
  <si>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</si>
  <si>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</si>
  <si>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</si>
  <si>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</si>
  <si>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</si>
  <si>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</si>
  <si>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</si>
  <si>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</si>
  <si>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</si>
  <si>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</si>
  <si>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</si>
  <si>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</si>
  <si>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</si>
  <si>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</si>
  <si>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</si>
  <si>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</si>
  <si>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</si>
  <si>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</si>
  <si>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</si>
  <si>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</si>
  <si>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</si>
  <si>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</si>
  <si>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</si>
  <si>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</si>
  <si>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</si>
  <si>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</si>
  <si>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</si>
  <si>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</si>
  <si>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</si>
  <si>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</si>
  <si>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</si>
  <si>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</si>
  <si>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</si>
  <si>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</si>
  <si>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</si>
  <si>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</si>
  <si>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</si>
  <si>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</si>
  <si>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</si>
  <si>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</si>
  <si>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</si>
  <si>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</si>
  <si>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</si>
  <si>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</si>
  <si>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</si>
  <si>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</si>
  <si>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</si>
  <si>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</si>
  <si>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</si>
  <si>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</si>
  <si>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</si>
  <si>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</si>
  <si>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</si>
  <si>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</si>
  <si>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</si>
  <si>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</si>
  <si>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</si>
  <si>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</si>
  <si>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</si>
  <si>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</si>
  <si>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</si>
  <si>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</si>
  <si>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</si>
  <si>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</si>
  <si>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</si>
  <si>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</si>
  <si>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</si>
  <si>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</si>
  <si>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</si>
  <si>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</si>
  <si>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</si>
  <si>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</si>
  <si>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</si>
  <si>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</si>
  <si>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</si>
  <si>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</si>
  <si>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</si>
  <si>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</si>
  <si>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</si>
  <si>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</si>
  <si>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</si>
  <si>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</si>
  <si>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</si>
  <si>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</si>
  <si>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</si>
  <si>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</si>
  <si>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</si>
  <si>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</si>
  <si>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</si>
  <si>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</si>
  <si>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</si>
  <si>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</si>
  <si>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</si>
  <si>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</si>
  <si>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</si>
  <si>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</si>
  <si>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</si>
  <si>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</si>
  <si>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</si>
  <si>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</si>
  <si>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</si>
  <si>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</si>
  <si>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</si>
  <si>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</si>
  <si>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</si>
  <si>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</si>
  <si>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</si>
  <si>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</si>
  <si>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</si>
  <si>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</si>
  <si>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</si>
  <si>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</si>
  <si>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</si>
  <si>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</si>
  <si>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</si>
  <si>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</si>
  <si>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</si>
  <si>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</si>
  <si>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</si>
  <si>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</si>
  <si>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</si>
  <si>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</si>
  <si>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</si>
  <si>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</si>
  <si>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</si>
  <si>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</si>
  <si>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</si>
  <si>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</si>
  <si>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</si>
  <si>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</si>
  <si>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</si>
  <si>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</si>
  <si>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</si>
  <si>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</si>
  <si>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</si>
  <si>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</si>
  <si>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</si>
  <si>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</si>
  <si>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</si>
  <si>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</si>
  <si>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</si>
  <si>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</si>
  <si>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</si>
  <si>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</si>
  <si>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</si>
  <si>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</si>
  <si>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</si>
  <si>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</si>
  <si>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</si>
  <si>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</si>
  <si>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</si>
  <si>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</si>
  <si>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</si>
  <si>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</si>
  <si>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</si>
  <si>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</si>
  <si>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</si>
  <si>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</si>
  <si>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</si>
  <si>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</si>
  <si>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</si>
  <si>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</si>
  <si>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</si>
  <si>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</si>
  <si>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</si>
  <si>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</si>
  <si>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</si>
  <si>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</si>
  <si>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</si>
  <si>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</si>
  <si>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</si>
  <si>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</si>
  <si>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</si>
  <si>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</si>
  <si>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</si>
  <si>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</si>
  <si>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</si>
  <si>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</si>
  <si>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</si>
  <si>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</si>
  <si>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</si>
  <si>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</si>
  <si>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</si>
  <si>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</si>
  <si>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</si>
  <si>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</si>
  <si>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</si>
  <si>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</si>
  <si>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</si>
  <si>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</si>
  <si>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</si>
  <si>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</si>
  <si>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</si>
  <si>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</si>
  <si>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</si>
  <si>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</si>
  <si>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</si>
  <si>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</si>
  <si>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</si>
  <si>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</si>
  <si>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</si>
  <si>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</si>
  <si>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</si>
  <si>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</si>
  <si>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</si>
  <si>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</si>
  <si>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</si>
  <si>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</si>
  <si>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</si>
  <si>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</si>
  <si>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</si>
  <si>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</si>
  <si>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</si>
  <si>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</si>
  <si>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</si>
  <si>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</si>
  <si>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</si>
  <si>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</si>
  <si>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</si>
  <si>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</si>
  <si>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</si>
  <si>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</si>
  <si>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</si>
  <si>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</si>
  <si>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</si>
  <si>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</si>
  <si>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</si>
  <si>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</si>
  <si>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</si>
  <si>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</si>
  <si>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</si>
  <si>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</si>
  <si>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</si>
  <si>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</si>
  <si>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</si>
  <si>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</si>
  <si>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</si>
  <si>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</si>
  <si>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</si>
  <si>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</si>
  <si>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</si>
  <si>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</si>
  <si>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</si>
  <si>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</si>
  <si>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</si>
  <si>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</si>
  <si>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</si>
  <si>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</si>
  <si>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</si>
  <si>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</si>
  <si>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</si>
  <si>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</si>
  <si>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</si>
  <si>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</si>
  <si>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</si>
  <si>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</si>
  <si>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</si>
  <si>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</si>
  <si>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</si>
  <si>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</si>
  <si>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</si>
  <si>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</si>
  <si>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</si>
  <si>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</si>
  <si>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</si>
  <si>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</si>
  <si>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</si>
  <si>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</si>
  <si>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</si>
  <si>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</si>
  <si>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</si>
  <si>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</si>
  <si>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</si>
  <si>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</si>
  <si>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</si>
  <si>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</si>
  <si>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</si>
  <si>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</si>
  <si>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</si>
  <si>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</si>
  <si>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</si>
  <si>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</si>
  <si>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</si>
  <si>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</si>
  <si>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</si>
  <si>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</si>
  <si>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</si>
  <si>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</si>
  <si>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</si>
  <si>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</si>
  <si>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</si>
  <si>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</si>
  <si>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</si>
  <si>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</si>
  <si>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</si>
  <si>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</si>
  <si>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</si>
  <si>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</si>
  <si>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</si>
  <si>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</si>
  <si>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</si>
  <si>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</si>
  <si>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</si>
  <si>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</si>
  <si>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</si>
  <si>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</si>
  <si>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</si>
  <si>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</si>
  <si>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</si>
  <si>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</si>
  <si>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</si>
  <si>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</si>
  <si>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</si>
  <si>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</si>
  <si>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</si>
  <si>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</si>
  <si>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</si>
  <si>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</si>
  <si>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</si>
  <si>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</si>
  <si>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</si>
  <si>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</si>
  <si>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</si>
  <si>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</si>
  <si>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</si>
  <si>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</si>
  <si>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</si>
  <si>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</si>
  <si>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</si>
  <si>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</si>
  <si>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</si>
  <si>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</si>
  <si>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</si>
  <si>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</si>
  <si>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</si>
  <si>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</si>
  <si>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</si>
  <si>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</si>
  <si>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</si>
  <si>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</si>
  <si>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</si>
  <si>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</si>
  <si>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</si>
  <si>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</si>
  <si>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</si>
  <si>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</si>
  <si>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</si>
  <si>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</si>
  <si>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</si>
  <si>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</si>
  <si>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</si>
  <si>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</si>
  <si>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</si>
  <si>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</si>
  <si>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</si>
  <si>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</si>
  <si>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</si>
  <si>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</si>
  <si>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</si>
  <si>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</si>
  <si>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</si>
  <si>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</si>
  <si>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</si>
  <si>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</si>
  <si>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</si>
  <si>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</si>
  <si>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</si>
  <si>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</si>
  <si>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</si>
  <si>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</si>
  <si>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</si>
  <si>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</si>
  <si>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</si>
  <si>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</si>
  <si>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</si>
  <si>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</si>
  <si>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</si>
  <si>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</si>
  <si>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</si>
  <si>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</si>
  <si>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</si>
  <si>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</si>
  <si>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</si>
  <si>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</si>
  <si>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</si>
  <si>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</si>
  <si>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</si>
  <si>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</si>
  <si>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</si>
  <si>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</si>
  <si>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</si>
  <si>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</si>
  <si>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</si>
  <si>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</si>
  <si>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</si>
  <si>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</si>
  <si>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</si>
  <si>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</si>
  <si>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</si>
  <si>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</si>
  <si>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</si>
  <si>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</si>
  <si>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</si>
  <si>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</si>
  <si>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</si>
  <si>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</si>
  <si>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</si>
  <si>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</si>
  <si>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</si>
  <si>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</si>
  <si>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</si>
  <si>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</si>
  <si>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</si>
  <si>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</si>
  <si>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</si>
  <si>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</si>
  <si>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</si>
  <si>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</si>
  <si>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</si>
  <si>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</si>
  <si>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</si>
  <si>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</si>
  <si>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</si>
  <si>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</si>
  <si>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</si>
  <si>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</si>
  <si>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</si>
  <si>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</si>
  <si>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</si>
  <si>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</si>
  <si>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</si>
  <si>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</si>
  <si>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</si>
  <si>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</si>
  <si>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</si>
  <si>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</si>
  <si>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</si>
  <si>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</si>
  <si>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</si>
  <si>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</si>
  <si>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</si>
  <si>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</si>
  <si>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</si>
  <si>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</si>
  <si>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</si>
  <si>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</si>
  <si>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</si>
  <si>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</si>
  <si>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</si>
  <si>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</si>
  <si>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</si>
  <si>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</si>
  <si>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</si>
  <si>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</si>
  <si>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</si>
  <si>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</si>
  <si>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</si>
  <si>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</si>
  <si>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</si>
  <si>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</si>
  <si>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</si>
  <si>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</si>
  <si>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</si>
  <si>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</si>
  <si>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</si>
  <si>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</si>
  <si>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</si>
  <si>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</si>
  <si>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</si>
  <si>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</si>
  <si>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</si>
  <si>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</si>
  <si>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</si>
  <si>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</si>
  <si>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</si>
  <si>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</si>
  <si>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</si>
  <si>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</si>
  <si>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</si>
  <si>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</si>
  <si>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</si>
  <si>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</si>
  <si>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</si>
  <si>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</si>
  <si>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</si>
  <si>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</si>
  <si>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</si>
  <si>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</si>
  <si>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</si>
  <si>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</si>
  <si>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</si>
  <si>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</si>
  <si>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</si>
  <si>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</si>
  <si>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</si>
  <si>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</si>
  <si>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</si>
  <si>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</si>
  <si>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</si>
  <si>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</si>
  <si>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</si>
  <si>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</si>
  <si>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</si>
  <si>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</si>
  <si>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</si>
  <si>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</si>
  <si>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</si>
  <si>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</si>
  <si>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</si>
  <si>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</si>
  <si>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</si>
  <si>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</si>
  <si>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</si>
  <si>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</si>
  <si>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</si>
  <si>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</si>
  <si>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</si>
  <si>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</si>
  <si>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</si>
  <si>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</si>
  <si>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</si>
  <si>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</si>
  <si>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</si>
  <si>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</si>
  <si>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</si>
  <si>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</si>
  <si>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</si>
  <si>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</si>
  <si>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</si>
  <si>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</si>
  <si>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</si>
  <si>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</si>
  <si>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</si>
  <si>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</si>
  <si>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</si>
  <si>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</si>
  <si>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</si>
  <si>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</si>
  <si>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</si>
  <si>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</si>
  <si>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</si>
  <si>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</si>
  <si>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</si>
  <si>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</si>
  <si>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</si>
  <si>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</si>
  <si>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</si>
  <si>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</si>
  <si>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</si>
  <si>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</si>
  <si>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</si>
  <si>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</si>
  <si>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</si>
  <si>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</si>
  <si>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</si>
  <si>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</si>
  <si>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</si>
  <si>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</si>
  <si>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</si>
  <si>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</si>
  <si>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</si>
  <si>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</si>
  <si>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</si>
  <si>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</si>
  <si>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</si>
  <si>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</si>
  <si>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</si>
  <si>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</si>
  <si>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</si>
  <si>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</si>
  <si>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</si>
  <si>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</si>
  <si>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</si>
  <si>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</si>
  <si>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</si>
  <si>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</si>
  <si>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</si>
  <si>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</si>
  <si>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</si>
  <si>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</si>
  <si>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</si>
  <si>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</si>
  <si>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</si>
  <si>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</si>
  <si>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</si>
  <si>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</si>
  <si>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</si>
  <si>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</si>
  <si>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</si>
  <si>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</si>
  <si>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</si>
  <si>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</si>
  <si>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</si>
  <si>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</si>
  <si>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</si>
  <si>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</si>
  <si>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</si>
  <si>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</si>
  <si>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</si>
  <si>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</si>
  <si>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</si>
  <si>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</si>
  <si>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</si>
  <si>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</si>
  <si>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</si>
  <si>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</si>
  <si>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</si>
  <si>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</si>
  <si>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</si>
  <si>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</si>
  <si>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</si>
  <si>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</si>
  <si>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</si>
  <si>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</si>
  <si>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</si>
  <si>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</si>
  <si>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</si>
  <si>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</si>
  <si>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</si>
  <si>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</si>
  <si>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</si>
  <si>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</si>
  <si>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</si>
  <si>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</si>
  <si>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</si>
  <si>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</si>
  <si>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</si>
  <si>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</si>
  <si>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</si>
  <si>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</si>
  <si>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</si>
  <si>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</si>
  <si>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</si>
  <si>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</si>
  <si>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</si>
  <si>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</si>
  <si>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</si>
  <si>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</si>
  <si>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</si>
  <si>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</si>
  <si>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</si>
  <si>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</si>
  <si>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</si>
  <si>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</si>
  <si>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</si>
  <si>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</si>
  <si>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</si>
  <si>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</si>
  <si>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</si>
  <si>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</si>
  <si>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</si>
  <si>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</si>
  <si>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</si>
  <si>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</si>
  <si>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</si>
  <si>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</si>
  <si>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</si>
  <si>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</si>
  <si>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</si>
  <si>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</si>
  <si>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</si>
  <si>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</si>
  <si>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</si>
  <si>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</si>
  <si>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</si>
  <si>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</si>
  <si>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</si>
  <si>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</si>
  <si>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</si>
  <si>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</si>
  <si>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</si>
  <si>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</si>
  <si>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</si>
  <si>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</si>
  <si>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</si>
  <si>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</si>
  <si>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</si>
  <si>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</si>
  <si>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</si>
  <si>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</si>
  <si>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</si>
  <si>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</si>
  <si>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</si>
  <si>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</si>
  <si>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</si>
  <si>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</si>
  <si>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</si>
  <si>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</si>
  <si>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</si>
  <si>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</si>
  <si>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</si>
  <si>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</si>
  <si>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</si>
  <si>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</si>
  <si>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</si>
  <si>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</si>
  <si>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</si>
  <si>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</si>
  <si>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</si>
  <si>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</si>
  <si>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</si>
  <si>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</si>
  <si>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</si>
  <si>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</si>
  <si>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</si>
  <si>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</si>
  <si>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</si>
  <si>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</si>
  <si>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</si>
  <si>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</si>
  <si>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</si>
  <si>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</si>
  <si>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</si>
  <si>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</si>
  <si>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</si>
  <si>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</si>
  <si>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</si>
  <si>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</si>
  <si>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</si>
  <si>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</si>
  <si>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</si>
  <si>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</si>
  <si>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</si>
  <si>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</si>
  <si>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</si>
  <si>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</si>
  <si>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</si>
  <si>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</si>
  <si>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</si>
  <si>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</si>
  <si>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</si>
  <si>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</si>
  <si>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</si>
  <si>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</si>
  <si>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</si>
  <si>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</si>
  <si>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</si>
  <si>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</si>
  <si>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</si>
  <si>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</si>
  <si>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</si>
  <si>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</si>
  <si>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</si>
  <si>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</si>
  <si>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</si>
  <si>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</si>
  <si>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</si>
  <si>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</si>
  <si>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</si>
  <si>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</si>
  <si>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</si>
  <si>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</si>
  <si>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</si>
  <si>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</si>
  <si>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</si>
  <si>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</si>
  <si>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</si>
  <si>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</si>
  <si>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</si>
  <si>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</si>
  <si>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</si>
  <si>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</si>
  <si>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</si>
  <si>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</si>
  <si>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</si>
  <si>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</si>
  <si>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</si>
  <si>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</si>
  <si>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</si>
  <si>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</si>
  <si>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</si>
  <si>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</si>
  <si>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</si>
  <si>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</si>
  <si>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</si>
  <si>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</si>
  <si>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</si>
  <si>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</si>
  <si>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</si>
  <si>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</si>
  <si>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</si>
  <si>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</si>
  <si>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</si>
  <si>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</si>
  <si>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</si>
  <si>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</si>
  <si>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</si>
  <si>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</si>
  <si>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</si>
  <si>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</si>
  <si>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</si>
  <si>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</si>
  <si>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</si>
  <si>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</si>
  <si>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</si>
  <si>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</si>
  <si>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</si>
  <si>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</si>
  <si>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</si>
  <si>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</si>
  <si>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</si>
  <si>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</si>
  <si>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</si>
  <si>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</si>
  <si>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</si>
  <si>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</si>
  <si>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</si>
  <si>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</si>
  <si>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</si>
  <si>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</si>
  <si>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</si>
  <si>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</si>
  <si>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</si>
  <si>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</si>
  <si>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</si>
  <si>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</si>
  <si>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</si>
  <si>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</si>
  <si>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</si>
  <si>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</si>
  <si>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</si>
  <si>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</si>
  <si>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</si>
  <si>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</si>
  <si>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</si>
  <si>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</si>
  <si>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</si>
  <si>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</si>
  <si>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</si>
  <si>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</si>
  <si>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</si>
  <si>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</si>
  <si>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</si>
  <si>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</si>
  <si>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</si>
  <si>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</si>
  <si>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</si>
  <si>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</si>
  <si>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</si>
  <si>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</si>
  <si>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</si>
  <si>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</si>
  <si>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</si>
  <si>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</si>
  <si>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</si>
  <si>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</si>
  <si>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</si>
  <si>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</si>
  <si>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</si>
  <si>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</si>
  <si>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</si>
  <si>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</si>
  <si>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</si>
  <si>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</si>
  <si>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</si>
  <si>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</si>
  <si>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</si>
  <si>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</si>
  <si>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</si>
  <si>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</si>
  <si>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</si>
  <si>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</si>
  <si>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</si>
  <si>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</si>
  <si>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</si>
  <si>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</si>
  <si>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</si>
  <si>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</si>
  <si>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</si>
  <si>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</si>
  <si>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</si>
  <si>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</si>
  <si>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</si>
  <si>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</si>
  <si>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</si>
  <si>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</si>
  <si>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</si>
  <si>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</si>
  <si>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</si>
  <si>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</si>
  <si>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</si>
  <si>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</si>
  <si>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</si>
  <si>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</si>
  <si>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</si>
  <si>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</si>
  <si>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</si>
  <si>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</si>
  <si>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</si>
  <si>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</si>
  <si>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</si>
  <si>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</si>
  <si>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</si>
  <si>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</si>
  <si>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</si>
  <si>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</si>
  <si>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</si>
  <si>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</si>
  <si>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</si>
  <si>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</si>
  <si>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</si>
  <si>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</si>
  <si>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</si>
  <si>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</si>
  <si>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</si>
  <si>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</si>
  <si>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</si>
  <si>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</si>
  <si>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</si>
  <si>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</si>
  <si>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</si>
  <si>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</si>
  <si>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</si>
  <si>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</si>
  <si>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</si>
  <si>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</si>
  <si>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</si>
  <si>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</si>
  <si>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</si>
  <si>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</si>
  <si>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</si>
  <si>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</si>
  <si>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</si>
  <si>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</si>
  <si>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</si>
  <si>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</si>
  <si>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</si>
  <si>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</si>
  <si>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</si>
  <si>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</si>
  <si>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</si>
  <si>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</si>
  <si>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</si>
  <si>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</si>
  <si>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</si>
  <si>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</si>
  <si>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</si>
  <si>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</si>
  <si>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</si>
  <si>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</si>
  <si>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</si>
  <si>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</si>
  <si>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</si>
  <si>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</si>
  <si>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</si>
  <si>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</si>
  <si>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</si>
  <si>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</si>
  <si>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</si>
  <si>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</si>
  <si>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</si>
  <si>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</si>
  <si>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</si>
  <si>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</si>
  <si>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</si>
  <si>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</si>
  <si>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</si>
  <si>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</si>
  <si>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</si>
  <si>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</si>
  <si>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</si>
  <si>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</si>
  <si>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</si>
  <si>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</si>
  <si>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</si>
  <si>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</si>
  <si>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</si>
  <si>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</si>
  <si>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</si>
  <si>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</si>
  <si>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</si>
  <si>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</si>
  <si>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</si>
  <si>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</si>
  <si>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</si>
  <si>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</si>
  <si>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</si>
  <si>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</si>
  <si>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</si>
  <si>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</si>
  <si>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</si>
  <si>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</si>
  <si>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</si>
  <si>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</si>
  <si>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</si>
  <si>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</si>
  <si>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</si>
  <si>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</si>
  <si>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</si>
  <si>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</si>
  <si>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</si>
  <si>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</si>
  <si>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</si>
  <si>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</si>
  <si>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</si>
  <si>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</si>
  <si>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</si>
  <si>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</si>
  <si>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</si>
  <si>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</si>
  <si>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</si>
  <si>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</si>
  <si>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</si>
  <si>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</si>
  <si>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</si>
  <si>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</si>
  <si>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</si>
  <si>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</si>
  <si>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</si>
  <si>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</si>
  <si>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</si>
  <si>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</si>
  <si>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</si>
  <si>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</si>
  <si>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</si>
  <si>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</si>
  <si>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</si>
  <si>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</si>
  <si>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</si>
  <si>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</si>
  <si>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</si>
  <si>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</si>
  <si>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</si>
  <si>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</si>
  <si>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</si>
  <si>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</si>
  <si>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</si>
  <si>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</si>
  <si>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</si>
  <si>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</si>
  <si>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</si>
  <si>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</si>
  <si>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</si>
  <si>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</si>
  <si>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</si>
  <si>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</si>
  <si>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</si>
  <si>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</si>
  <si>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</si>
  <si>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</si>
  <si>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</si>
  <si>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</si>
  <si>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</si>
  <si>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</si>
  <si>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</si>
  <si>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</si>
  <si>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</si>
  <si>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</si>
  <si>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</si>
  <si>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</si>
  <si>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</si>
  <si>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</si>
  <si>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</si>
  <si>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</si>
  <si>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</si>
  <si>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</si>
  <si>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</si>
  <si>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</si>
  <si>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</si>
  <si>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</si>
  <si>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</si>
  <si>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</si>
  <si>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</si>
  <si>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</si>
  <si>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</si>
  <si>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</si>
  <si>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</si>
  <si>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</si>
  <si>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</si>
  <si>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</si>
  <si>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</si>
  <si>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</si>
  <si>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</si>
  <si>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</si>
  <si>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</si>
  <si>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</si>
  <si>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</si>
  <si>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</si>
  <si>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</si>
  <si>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</si>
  <si>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</si>
  <si>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</si>
  <si>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</si>
  <si>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</si>
  <si>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</si>
  <si>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</si>
  <si>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</si>
  <si>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</si>
  <si>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</si>
  <si>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</si>
  <si>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</si>
  <si>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</si>
  <si>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</si>
  <si>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</si>
  <si>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</si>
  <si>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</si>
  <si>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</si>
  <si>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</si>
  <si>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</si>
  <si>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</si>
  <si>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</si>
  <si>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</si>
  <si>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</si>
  <si>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</si>
  <si>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</si>
  <si>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</si>
  <si>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</si>
  <si>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</si>
  <si>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</si>
  <si>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</si>
  <si>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</si>
  <si>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</si>
  <si>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</si>
  <si>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</si>
  <si>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</si>
  <si>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</si>
  <si>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</si>
  <si>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</si>
  <si>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</si>
  <si>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</si>
  <si>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</si>
  <si>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</si>
  <si>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</si>
  <si>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</si>
  <si>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</si>
  <si>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</si>
  <si>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</si>
  <si>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</si>
  <si>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</si>
  <si>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</si>
  <si>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</si>
  <si>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</si>
  <si>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</si>
  <si>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</si>
  <si>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</si>
  <si>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</si>
  <si>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</si>
  <si>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</si>
  <si>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</si>
  <si>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</si>
  <si>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</si>
  <si>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</si>
  <si>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</si>
  <si>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</si>
  <si>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</si>
  <si>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</si>
  <si>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</si>
  <si>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</si>
  <si>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</si>
  <si>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</si>
  <si>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</si>
  <si>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</si>
  <si>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</si>
  <si>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</si>
  <si>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</si>
  <si>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</si>
  <si>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</si>
  <si>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</si>
  <si>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</si>
  <si>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</si>
  <si>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</si>
  <si>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</si>
  <si>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</si>
  <si>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</si>
  <si>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</si>
  <si>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</si>
  <si>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</si>
  <si>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</si>
  <si>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</si>
  <si>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</si>
  <si>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</si>
  <si>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</si>
  <si>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</si>
  <si>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</si>
  <si>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</si>
  <si>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</si>
  <si>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</si>
  <si>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</si>
  <si>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</si>
  <si>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</si>
  <si>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</si>
  <si>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</si>
  <si>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</si>
  <si>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</si>
  <si>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</si>
  <si>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</si>
  <si>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</si>
  <si>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</si>
  <si>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</si>
  <si>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</si>
  <si>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</si>
  <si>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</si>
  <si>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</si>
  <si>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</si>
  <si>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</si>
  <si>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</si>
  <si>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</si>
  <si>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</si>
  <si>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</si>
  <si>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</si>
  <si>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</si>
  <si>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</si>
  <si>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</si>
  <si>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</si>
  <si>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</si>
  <si>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</si>
  <si>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</si>
  <si>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</si>
  <si>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</si>
  <si>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</si>
  <si>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</si>
  <si>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</si>
  <si>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</si>
  <si>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</si>
  <si>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</si>
  <si>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</si>
  <si>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</si>
  <si>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</si>
  <si>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</si>
  <si>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</si>
  <si>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</si>
  <si>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</si>
  <si>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</si>
  <si>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</si>
  <si>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</si>
  <si>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</si>
  <si>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</si>
  <si>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</si>
  <si>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</si>
  <si>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</si>
  <si>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</si>
  <si>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</si>
  <si>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</si>
  <si>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</si>
  <si>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</si>
  <si>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</si>
  <si>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</si>
  <si>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</si>
  <si>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</si>
  <si>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</si>
  <si>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</si>
  <si>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</si>
  <si>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</si>
  <si>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</si>
  <si>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</si>
  <si>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</si>
  <si>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</si>
  <si>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</si>
  <si>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</si>
  <si>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</si>
  <si>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</si>
  <si>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</si>
  <si>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</si>
  <si>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</si>
  <si>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</si>
  <si>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</si>
  <si>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</si>
  <si>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</si>
  <si>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</si>
  <si>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</si>
  <si>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</si>
  <si>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</si>
  <si>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</si>
  <si>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</si>
  <si>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</si>
  <si>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</si>
  <si>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</si>
  <si>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</si>
  <si>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</si>
  <si>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</si>
  <si>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</si>
  <si>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</si>
  <si>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</si>
  <si>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</si>
  <si>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</si>
  <si>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</si>
  <si>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</si>
  <si>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</si>
  <si>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</si>
  <si>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</si>
  <si>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</si>
  <si>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</si>
  <si>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</si>
  <si>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</si>
  <si>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</si>
  <si>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</si>
  <si>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</si>
  <si>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</si>
  <si>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</si>
  <si>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</si>
  <si>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</si>
  <si>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</si>
  <si>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</si>
  <si>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</si>
  <si>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</si>
  <si>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</si>
  <si>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</si>
  <si>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</si>
  <si>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</si>
  <si>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</si>
  <si>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</si>
  <si>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</si>
  <si>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</si>
  <si>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</si>
  <si>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</si>
  <si>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</si>
  <si>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</si>
  <si>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</si>
  <si>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</si>
  <si>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</si>
  <si>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</si>
  <si>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</si>
  <si>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</si>
  <si>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</si>
  <si>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</si>
  <si>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</si>
  <si>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</si>
  <si>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</si>
  <si>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</si>
  <si>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</si>
  <si>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</si>
  <si>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</si>
  <si>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</si>
  <si>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</si>
  <si>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</si>
  <si>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</si>
  <si>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</si>
  <si>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</si>
  <si>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</si>
  <si>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</si>
  <si>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</si>
  <si>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</si>
  <si>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</si>
  <si>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</si>
  <si>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</si>
  <si>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</si>
  <si>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</si>
  <si>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</si>
  <si>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</si>
  <si>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</si>
  <si>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</si>
  <si>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</si>
  <si>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</si>
  <si>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</si>
  <si>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</si>
  <si>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</si>
  <si>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</si>
  <si>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</si>
  <si>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</si>
  <si>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</si>
  <si>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</si>
  <si>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</si>
  <si>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</si>
  <si>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</si>
  <si>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</si>
  <si>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</si>
  <si>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</si>
  <si>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</si>
  <si>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</si>
  <si>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</si>
  <si>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</si>
  <si>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</si>
  <si>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</si>
  <si>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</si>
  <si>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</si>
  <si>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</si>
  <si>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</si>
  <si>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</si>
  <si>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</si>
  <si>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</si>
  <si>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</si>
  <si>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</si>
  <si>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</si>
  <si>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</si>
  <si>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</si>
  <si>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</si>
  <si>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</si>
  <si>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</si>
  <si>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</si>
  <si>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</si>
  <si>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</si>
  <si>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</si>
  <si>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</si>
  <si>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</si>
  <si>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</si>
  <si>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</si>
  <si>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</si>
  <si>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</si>
  <si>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</si>
  <si>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</si>
  <si>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</si>
  <si>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</si>
  <si>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</si>
  <si>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</si>
  <si>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</si>
  <si>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</si>
  <si>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</si>
  <si>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</si>
  <si>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</si>
  <si>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</si>
  <si>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</si>
  <si>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</si>
  <si>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</si>
  <si>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</si>
  <si>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</si>
  <si>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</si>
  <si>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</si>
  <si>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</si>
  <si>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</si>
  <si>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</si>
  <si>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</si>
  <si>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</si>
  <si>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</si>
  <si>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</si>
  <si>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</si>
  <si>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</si>
  <si>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</si>
  <si>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</si>
  <si>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</si>
  <si>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</si>
  <si>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</si>
  <si>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</si>
  <si>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</si>
  <si>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</si>
  <si>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</si>
  <si>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</si>
  <si>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</si>
  <si>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</si>
  <si>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</si>
  <si>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</si>
  <si>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</si>
  <si>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</si>
  <si>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</si>
  <si>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</si>
  <si>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</si>
  <si>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</si>
  <si>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</si>
  <si>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</si>
  <si>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</si>
  <si>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</si>
  <si>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</si>
  <si>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</si>
  <si>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</si>
  <si>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</si>
  <si>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</si>
  <si>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</si>
  <si>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</si>
  <si>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</si>
  <si>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</si>
  <si>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</si>
  <si>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</si>
  <si>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</si>
  <si>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</si>
  <si>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</si>
  <si>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</si>
  <si>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</si>
  <si>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</si>
  <si>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</si>
  <si>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</si>
  <si>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</si>
  <si>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</si>
  <si>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</si>
  <si>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</si>
  <si>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</si>
  <si>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</si>
  <si>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</si>
  <si>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</si>
  <si>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</si>
  <si>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</si>
  <si>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</si>
  <si>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</si>
  <si>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</si>
  <si>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</si>
  <si>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</si>
  <si>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</si>
  <si>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</si>
  <si>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</si>
  <si>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</si>
  <si>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</si>
  <si>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</si>
  <si>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</si>
  <si>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</si>
  <si>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</si>
  <si>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</si>
  <si>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</si>
  <si>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</si>
  <si>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</si>
  <si>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</si>
  <si>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</si>
  <si>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</si>
  <si>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</si>
  <si>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</si>
  <si>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</si>
  <si>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</si>
  <si>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</si>
  <si>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</si>
  <si>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</si>
  <si>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</si>
  <si>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</si>
  <si>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</si>
  <si>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</si>
  <si>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</si>
  <si>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</si>
  <si>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</si>
  <si>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</si>
  <si>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</si>
  <si>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</si>
  <si>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</si>
  <si>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</si>
  <si>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</si>
  <si>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</si>
  <si>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</si>
  <si>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</si>
  <si>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</si>
  <si>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</si>
  <si>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</si>
  <si>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</si>
  <si>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</si>
  <si>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</si>
  <si>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</si>
  <si>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</si>
  <si>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</si>
  <si>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</si>
  <si>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</si>
  <si>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</si>
  <si>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</si>
  <si>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</si>
  <si>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</si>
  <si>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</si>
  <si>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</si>
  <si>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</si>
  <si>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</si>
  <si>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</si>
  <si>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</si>
  <si>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</si>
  <si>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</si>
  <si>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</si>
  <si>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</si>
  <si>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</si>
  <si>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</si>
  <si>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</si>
  <si>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</si>
  <si>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</si>
  <si>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</si>
  <si>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</si>
  <si>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</si>
  <si>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</si>
  <si>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</si>
  <si>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</si>
  <si>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</si>
  <si>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</si>
  <si>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</si>
  <si>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</si>
  <si>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</si>
  <si>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</si>
  <si>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</si>
  <si>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</si>
  <si>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</si>
  <si>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</si>
  <si>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</si>
  <si>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</si>
  <si>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</si>
  <si>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</si>
  <si>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</si>
  <si>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</si>
  <si>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</si>
  <si>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</si>
  <si>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</si>
  <si>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</si>
  <si>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</si>
  <si>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</si>
  <si>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</si>
  <si>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</si>
  <si>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</si>
  <si>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</si>
  <si>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</si>
  <si>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</si>
  <si>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</si>
  <si>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</si>
  <si>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</si>
  <si>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</si>
  <si>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</si>
  <si>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</si>
  <si>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</si>
  <si>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</si>
  <si>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</si>
  <si>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</si>
  <si>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</si>
  <si>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</si>
  <si>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</si>
  <si>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</si>
  <si>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</si>
  <si>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</si>
  <si>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</si>
  <si>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</si>
  <si>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</si>
  <si>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</si>
  <si>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</si>
  <si>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</si>
  <si>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</si>
  <si>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</si>
  <si>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</si>
  <si>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</si>
  <si>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</si>
  <si>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</si>
  <si>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</si>
  <si>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</si>
  <si>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</si>
  <si>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</si>
  <si>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</si>
  <si>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</si>
  <si>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</si>
  <si>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</si>
  <si>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</si>
  <si>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</si>
  <si>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</si>
  <si>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</si>
  <si>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</si>
  <si>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</si>
  <si>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</si>
  <si>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</si>
  <si>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</si>
  <si>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</si>
  <si>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</si>
  <si>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</si>
  <si>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</si>
  <si>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</si>
  <si>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</si>
  <si>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</si>
  <si>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</si>
  <si>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</si>
  <si>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</si>
  <si>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</si>
  <si>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</si>
  <si>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</si>
  <si>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</si>
  <si>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</si>
  <si>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</si>
  <si>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</si>
  <si>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</si>
  <si>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</si>
  <si>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</si>
  <si>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</si>
  <si>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</si>
  <si>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</si>
  <si>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</si>
  <si>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</si>
  <si>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</si>
  <si>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</si>
  <si>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</si>
  <si>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</si>
  <si>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</si>
  <si>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</si>
  <si>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</si>
  <si>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</si>
  <si>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</si>
  <si>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</si>
  <si>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</si>
  <si>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</si>
  <si>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</si>
  <si>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</si>
  <si>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</si>
  <si>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</si>
  <si>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</si>
  <si>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</si>
  <si>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</si>
  <si>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</si>
  <si>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</si>
  <si>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</si>
  <si>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</si>
  <si>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</si>
  <si>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</si>
  <si>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</si>
  <si>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</si>
  <si>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</si>
  <si>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</si>
  <si>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</si>
  <si>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</si>
  <si>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</si>
  <si>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</si>
  <si>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</si>
  <si>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</si>
  <si>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</si>
  <si>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</si>
  <si>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</si>
  <si>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</si>
  <si>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</si>
  <si>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</si>
  <si>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</si>
  <si>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</si>
  <si>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</si>
  <si>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</si>
  <si>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</si>
  <si>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</si>
  <si>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</si>
  <si>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</si>
  <si>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</si>
  <si>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</si>
  <si>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</si>
  <si>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</si>
  <si>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</si>
  <si>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</si>
  <si>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</si>
  <si>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</si>
  <si>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</si>
  <si>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</si>
  <si>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</si>
  <si>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</si>
  <si>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</si>
  <si>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</si>
  <si>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</si>
  <si>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</si>
  <si>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</si>
  <si>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</si>
  <si>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</si>
  <si>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</si>
  <si>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</si>
  <si>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</si>
  <si>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</si>
  <si>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</si>
  <si>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</si>
  <si>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</si>
  <si>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</si>
  <si>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</si>
  <si>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</si>
  <si>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</si>
  <si>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</si>
  <si>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</si>
  <si>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</si>
  <si>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</si>
  <si>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</si>
  <si>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</si>
  <si>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</si>
  <si>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</si>
  <si>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</si>
  <si>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</si>
  <si>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</si>
  <si>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</si>
  <si>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</si>
  <si>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</si>
  <si>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</si>
  <si>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</si>
  <si>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</si>
  <si>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</si>
  <si>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</si>
  <si>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</si>
  <si>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</si>
  <si>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</si>
  <si>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</si>
  <si>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</si>
  <si>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</si>
  <si>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</si>
  <si>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</si>
  <si>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</si>
  <si>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</si>
  <si>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</si>
  <si>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</si>
  <si>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</si>
  <si>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</si>
  <si>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</si>
  <si>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</si>
  <si>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</si>
  <si>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</si>
  <si>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</si>
  <si>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</si>
  <si>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</si>
  <si>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</si>
  <si>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</si>
  <si>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</si>
  <si>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</si>
  <si>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</si>
  <si>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</si>
  <si>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</si>
  <si>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</si>
  <si>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</si>
  <si>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</si>
  <si>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</si>
  <si>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</si>
  <si>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</si>
  <si>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</si>
  <si>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</si>
  <si>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</si>
  <si>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</si>
  <si>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</si>
  <si>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</si>
  <si>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</si>
  <si>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</si>
  <si>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</si>
  <si>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</si>
  <si>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</si>
  <si>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</si>
  <si>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</si>
  <si>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</si>
  <si>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</si>
  <si>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</si>
  <si>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</si>
  <si>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</si>
  <si>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</si>
  <si>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</si>
  <si>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</si>
  <si>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</si>
  <si>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</si>
  <si>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</si>
  <si>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</si>
  <si>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</si>
  <si>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</si>
  <si>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</si>
  <si>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</si>
  <si>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</si>
  <si>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</si>
  <si>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</si>
  <si>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</si>
  <si>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</si>
  <si>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</si>
  <si>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</si>
  <si>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</si>
  <si>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</si>
  <si>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</si>
  <si>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</si>
  <si>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</si>
  <si>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</si>
  <si>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</si>
  <si>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</si>
  <si>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</si>
  <si>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</si>
  <si>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</si>
  <si>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</si>
  <si>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</si>
  <si>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</si>
  <si>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</si>
  <si>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</si>
  <si>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</si>
  <si>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</si>
  <si>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</si>
  <si>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</si>
  <si>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</si>
  <si>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</si>
  <si>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</si>
  <si>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</si>
  <si>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</si>
  <si>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</si>
  <si>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</si>
  <si>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</si>
  <si>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</si>
  <si>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</si>
  <si>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</si>
  <si>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</si>
  <si>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</si>
  <si>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</si>
  <si>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</si>
  <si>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</si>
  <si>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</si>
  <si>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</si>
  <si>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</si>
  <si>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</si>
  <si>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</si>
  <si>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</si>
  <si>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</si>
  <si>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</si>
  <si>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</si>
  <si>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</si>
  <si>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</si>
  <si>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</si>
  <si>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</si>
  <si>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</si>
  <si>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</si>
  <si>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</si>
  <si>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</si>
  <si>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</si>
  <si>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</si>
  <si>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</si>
  <si>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</si>
  <si>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</si>
  <si>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</si>
  <si>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</si>
  <si>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</si>
  <si>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</si>
  <si>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</si>
  <si>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</si>
  <si>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</si>
  <si>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</si>
  <si>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</si>
  <si>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</si>
  <si>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</si>
  <si>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</si>
  <si>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</si>
  <si>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</si>
  <si>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</si>
  <si>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</si>
  <si>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</si>
  <si>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</si>
  <si>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</si>
  <si>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</si>
  <si>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</si>
  <si>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</si>
  <si>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</si>
  <si>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</si>
  <si>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</si>
  <si>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</si>
  <si>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</si>
  <si>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</si>
  <si>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</si>
  <si>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</si>
  <si>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</si>
  <si>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</si>
  <si>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</si>
  <si>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</si>
  <si>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</si>
  <si>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</si>
  <si>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</si>
  <si>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</si>
  <si>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</si>
  <si>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</si>
  <si>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</si>
  <si>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</si>
  <si>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</si>
  <si>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</si>
  <si>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</si>
  <si>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</si>
  <si>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</si>
  <si>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</si>
  <si>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</si>
  <si>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</si>
  <si>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</si>
  <si>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</si>
  <si>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</si>
  <si>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</si>
  <si>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</si>
  <si>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</si>
  <si>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</si>
  <si>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</si>
  <si>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</si>
  <si>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</si>
  <si>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</si>
  <si>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</si>
  <si>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</si>
  <si>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</si>
  <si>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</si>
  <si>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</si>
  <si>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</si>
  <si>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</si>
  <si>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</si>
  <si>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</si>
  <si>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</si>
  <si>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</si>
  <si>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</si>
  <si>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</si>
  <si>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</si>
  <si>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</si>
  <si>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</si>
  <si>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</si>
  <si>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</si>
  <si>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</si>
  <si>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</si>
  <si>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</si>
  <si>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</si>
  <si>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</si>
  <si>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</si>
  <si>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</si>
  <si>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</si>
  <si>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</si>
  <si>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</si>
  <si>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</si>
  <si>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</si>
  <si>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</si>
  <si>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</si>
  <si>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</si>
  <si>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</si>
  <si>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</si>
  <si>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</si>
  <si>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</si>
  <si>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</si>
  <si>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</si>
  <si>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</si>
  <si>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</si>
  <si>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</si>
  <si>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</si>
  <si>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</si>
  <si>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</si>
  <si>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</si>
  <si>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</si>
  <si>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</si>
  <si>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</si>
  <si>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</si>
  <si>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</si>
  <si>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</si>
  <si>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</si>
  <si>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</si>
  <si>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</si>
  <si>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</si>
  <si>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</si>
  <si>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</si>
  <si>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</si>
  <si>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</si>
  <si>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</si>
  <si>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</si>
  <si>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</si>
  <si>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</si>
  <si>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</si>
  <si>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</si>
  <si>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</si>
  <si>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</si>
  <si>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</si>
  <si>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</si>
  <si>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</si>
  <si>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</si>
  <si>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</si>
  <si>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</si>
  <si>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</si>
  <si>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</si>
  <si>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</si>
  <si>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</si>
  <si>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</si>
  <si>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</si>
  <si>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</si>
  <si>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</si>
  <si>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</si>
  <si>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</si>
  <si>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</si>
  <si>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</si>
  <si>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</si>
  <si>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</si>
  <si>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</si>
  <si>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</si>
  <si>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</si>
  <si>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</si>
  <si>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</si>
  <si>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</si>
  <si>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</si>
  <si>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</si>
  <si>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</si>
  <si>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</si>
  <si>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</si>
  <si>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</si>
  <si>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</si>
  <si>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</si>
  <si>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</si>
  <si>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</si>
  <si>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</si>
  <si>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</si>
  <si>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</si>
  <si>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</si>
  <si>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</si>
  <si>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</si>
  <si>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</si>
  <si>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</si>
  <si>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</si>
  <si>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</si>
  <si>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</si>
  <si>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</si>
  <si>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</si>
  <si>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</si>
  <si>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</si>
  <si>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</si>
  <si>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</si>
  <si>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</si>
  <si>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</si>
  <si>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</si>
  <si>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</si>
  <si>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</si>
  <si>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</si>
  <si>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</si>
  <si>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</si>
  <si>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</si>
  <si>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</si>
  <si>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</si>
  <si>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</si>
  <si>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</si>
  <si>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</si>
  <si>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</si>
  <si>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</si>
  <si>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</si>
  <si>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</si>
  <si>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</si>
  <si>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</si>
  <si>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</si>
  <si>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</si>
  <si>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</si>
  <si>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</si>
  <si>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</si>
  <si>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</si>
  <si>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</si>
  <si>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</si>
  <si>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</si>
  <si>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</si>
  <si>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</si>
  <si>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</si>
  <si>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</si>
  <si>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</si>
  <si>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</si>
  <si>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</si>
  <si>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</si>
  <si>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</si>
  <si>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</si>
  <si>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</si>
  <si>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</si>
  <si>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</si>
  <si>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</si>
  <si>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</si>
  <si>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</si>
  <si>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</si>
  <si>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</si>
  <si>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</si>
  <si>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</si>
  <si>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</si>
  <si>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</si>
  <si>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</si>
  <si>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</si>
  <si>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</si>
  <si>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</si>
  <si>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</si>
  <si>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</si>
  <si>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</si>
  <si>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</si>
  <si>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</si>
  <si>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</si>
  <si>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</si>
  <si>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</si>
  <si>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</si>
  <si>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</si>
  <si>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</si>
  <si>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</si>
  <si>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</si>
  <si>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</si>
  <si>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</si>
  <si>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</si>
  <si>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</si>
  <si>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</si>
  <si>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</si>
  <si>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</si>
  <si>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</si>
  <si>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</si>
  <si>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</si>
  <si>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</si>
  <si>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</si>
  <si>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</si>
  <si>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</si>
  <si>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</si>
  <si>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</si>
  <si>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</si>
  <si>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</si>
  <si>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</si>
  <si>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</si>
  <si>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</si>
  <si>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</si>
  <si>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</si>
  <si>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</si>
  <si>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</si>
  <si>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</si>
  <si>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</si>
  <si>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</si>
  <si>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</si>
  <si>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</si>
  <si>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</si>
  <si>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</si>
  <si>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</si>
  <si>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</si>
  <si>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</si>
  <si>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</si>
  <si>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</si>
  <si>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</si>
  <si>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</si>
  <si>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</si>
  <si>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</si>
  <si>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</si>
  <si>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</si>
  <si>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</si>
  <si>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</si>
  <si>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</si>
  <si>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</si>
  <si>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</si>
  <si>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</si>
  <si>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</si>
  <si>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</si>
  <si>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</si>
  <si>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</si>
  <si>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</si>
  <si>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</si>
  <si>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</si>
  <si>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</si>
  <si>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</si>
  <si>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</si>
  <si>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</si>
  <si>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</si>
  <si>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</si>
  <si>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</si>
  <si>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</si>
  <si>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</si>
  <si>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</si>
  <si>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</si>
  <si>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</si>
  <si>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</si>
  <si>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</si>
  <si>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</si>
  <si>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</si>
  <si>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</si>
  <si>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</si>
  <si>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</si>
  <si>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</si>
  <si>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</si>
  <si>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</si>
  <si>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</si>
  <si>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</si>
  <si>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</si>
  <si>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</si>
  <si>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</si>
  <si>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</si>
  <si>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</si>
  <si>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</si>
  <si>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</si>
  <si>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</si>
  <si>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</si>
  <si>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</si>
  <si>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</si>
  <si>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</si>
  <si>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</si>
  <si>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</si>
  <si>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</si>
  <si>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</si>
  <si>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</si>
  <si>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</si>
  <si>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</si>
  <si>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</si>
  <si>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</si>
  <si>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</si>
  <si>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</si>
  <si>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</si>
  <si>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</si>
  <si>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</si>
  <si>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</si>
  <si>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</si>
  <si>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</si>
  <si>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</si>
  <si>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</si>
  <si>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</si>
  <si>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</si>
  <si>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</si>
  <si>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</si>
  <si>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</si>
  <si>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</si>
  <si>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</si>
  <si>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</si>
  <si>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</si>
  <si>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</si>
  <si>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</si>
  <si>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</si>
  <si>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</si>
  <si>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</si>
  <si>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</si>
  <si>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</si>
  <si>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</si>
  <si>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</si>
  <si>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</si>
  <si>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</si>
  <si>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</si>
  <si>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</si>
  <si>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</si>
  <si>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</si>
  <si>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</si>
  <si>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</si>
  <si>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</si>
  <si>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</si>
  <si>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</si>
  <si>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</si>
  <si>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</si>
  <si>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</si>
  <si>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</si>
  <si>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</si>
  <si>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</si>
  <si>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</si>
  <si>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</si>
  <si>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</si>
  <si>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</si>
  <si>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</si>
  <si>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</si>
  <si>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</si>
  <si>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</si>
  <si>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</si>
  <si>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</si>
  <si>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</si>
  <si>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</si>
  <si>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</si>
  <si>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</si>
  <si>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</si>
  <si>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</si>
  <si>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</si>
  <si>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</si>
  <si>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</si>
  <si>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</si>
  <si>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</si>
  <si>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</si>
  <si>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</si>
  <si>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</si>
  <si>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</si>
  <si>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</si>
  <si>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</si>
  <si>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</si>
  <si>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</si>
  <si>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</si>
  <si>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</si>
  <si>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</si>
  <si>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</si>
  <si>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</si>
  <si>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</si>
  <si>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</si>
  <si>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</si>
  <si>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</si>
  <si>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</si>
  <si>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</si>
  <si>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</si>
  <si>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</si>
  <si>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</si>
  <si>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</si>
  <si>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</si>
  <si>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</si>
  <si>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</si>
  <si>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</si>
  <si>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</si>
  <si>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</si>
  <si>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</si>
  <si>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</si>
  <si>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</si>
  <si>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</si>
  <si>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</si>
  <si>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</si>
  <si>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</si>
  <si>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</si>
  <si>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</si>
  <si>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</si>
  <si>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</si>
  <si>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</si>
  <si>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</si>
  <si>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</si>
  <si>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</si>
  <si>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</si>
  <si>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</si>
  <si>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</si>
  <si>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</si>
  <si>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</si>
  <si>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</si>
  <si>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</si>
  <si>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</si>
  <si>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</si>
  <si>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</si>
  <si>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</si>
  <si>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</si>
  <si>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</si>
  <si>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</si>
  <si>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</si>
  <si>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</si>
  <si>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</si>
  <si>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</si>
  <si>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</si>
  <si>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</si>
  <si>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</si>
  <si>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</si>
  <si>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</si>
  <si>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</si>
  <si>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</si>
  <si>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</si>
  <si>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</si>
  <si>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</si>
  <si>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</si>
  <si>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</si>
  <si>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</si>
  <si>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</si>
  <si>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</si>
  <si>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</si>
  <si>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</si>
  <si>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</si>
  <si>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</si>
  <si>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</si>
  <si>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</si>
  <si>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</si>
  <si>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</si>
  <si>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</si>
  <si>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</si>
  <si>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</si>
  <si>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</si>
  <si>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</si>
  <si>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</si>
  <si>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</si>
  <si>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</si>
  <si>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</si>
  <si>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</si>
  <si>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</si>
  <si>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</si>
  <si>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</si>
  <si>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</si>
  <si>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</si>
  <si>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</si>
  <si>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</si>
  <si>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</si>
  <si>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</si>
  <si>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</si>
  <si>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</si>
  <si>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</si>
  <si>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</si>
  <si>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</si>
  <si>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</si>
  <si>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</si>
  <si>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</si>
  <si>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</si>
  <si>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</si>
  <si>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</si>
  <si>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</si>
  <si>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</si>
  <si>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</si>
  <si>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</si>
  <si>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</si>
  <si>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</si>
  <si>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</si>
  <si>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</si>
  <si>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</si>
  <si>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</si>
  <si>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</si>
  <si>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</si>
  <si>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</si>
  <si>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</si>
  <si>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</si>
  <si>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</si>
  <si>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</si>
  <si>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</si>
  <si>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</si>
  <si>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</si>
  <si>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</si>
  <si>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</si>
  <si>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</si>
  <si>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</si>
  <si>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</si>
  <si>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</si>
  <si>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</si>
  <si>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</si>
  <si>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</si>
  <si>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</si>
  <si>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</si>
  <si>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</si>
  <si>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</si>
  <si>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</si>
  <si>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</si>
  <si>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</si>
  <si>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</si>
  <si>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</si>
  <si>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</si>
  <si>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</si>
  <si>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</si>
  <si>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</si>
  <si>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</si>
  <si>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</si>
  <si>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</si>
  <si>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</si>
  <si>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</si>
  <si>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</si>
  <si>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</si>
  <si>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</si>
  <si>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</si>
  <si>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</si>
  <si>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</si>
  <si>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</si>
  <si>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</si>
  <si>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</si>
  <si>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</si>
  <si>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</si>
  <si>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</si>
  <si>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</si>
  <si>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</si>
  <si>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</si>
  <si>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</si>
  <si>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</si>
  <si>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</si>
  <si>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</si>
  <si>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</si>
  <si>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</si>
  <si>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</si>
  <si>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</si>
  <si>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</si>
  <si>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</si>
  <si>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</si>
  <si>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</si>
  <si>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</si>
  <si>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</si>
  <si>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</si>
  <si>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</si>
  <si>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</si>
  <si>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</si>
  <si>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</si>
  <si>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</si>
  <si>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</si>
  <si>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</si>
  <si>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</si>
  <si>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</si>
  <si>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</si>
  <si>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</si>
  <si>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</si>
  <si>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</si>
  <si>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</si>
  <si>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</si>
  <si>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</si>
  <si>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</si>
  <si>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</si>
  <si>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</si>
  <si>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</si>
  <si>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</si>
  <si>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</si>
  <si>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</si>
  <si>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</si>
  <si>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</si>
  <si>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</si>
  <si>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</si>
  <si>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</si>
  <si>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</si>
  <si>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</si>
  <si>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</si>
  <si>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</si>
  <si>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</si>
  <si>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</si>
  <si>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</si>
  <si>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</si>
  <si>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</si>
  <si>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</si>
  <si>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</si>
  <si>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</si>
  <si>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</si>
  <si>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</si>
  <si>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</si>
  <si>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</si>
  <si>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</si>
  <si>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</si>
  <si>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</si>
  <si>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</si>
  <si>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</si>
  <si>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</si>
  <si>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</si>
  <si>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</si>
  <si>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</si>
  <si>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</si>
  <si>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</si>
  <si>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</si>
  <si>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</si>
  <si>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</si>
  <si>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</si>
  <si>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</si>
  <si>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</si>
  <si>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</si>
  <si>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</si>
  <si>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</si>
  <si>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</si>
  <si>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</si>
  <si>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</si>
  <si>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</si>
  <si>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</si>
  <si>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</si>
  <si>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</si>
  <si>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</si>
  <si>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</si>
  <si>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</si>
  <si>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</si>
  <si>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</si>
  <si>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</si>
  <si>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</si>
  <si>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</si>
  <si>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</si>
  <si>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</si>
  <si>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</si>
  <si>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</si>
  <si>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</si>
  <si>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</si>
  <si>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</si>
  <si>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</si>
  <si>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</si>
  <si>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</si>
  <si>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</si>
  <si>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</si>
  <si>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</si>
  <si>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</si>
  <si>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</si>
  <si>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</si>
  <si>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</si>
  <si>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</si>
  <si>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</si>
  <si>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</si>
  <si>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</si>
  <si>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</si>
  <si>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</si>
  <si>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</si>
  <si>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</si>
  <si>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</si>
  <si>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</si>
  <si>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</si>
  <si>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</si>
  <si>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</si>
  <si>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</si>
  <si>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</si>
  <si>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</si>
  <si>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</si>
  <si>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</si>
  <si>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</si>
  <si>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</si>
  <si>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</si>
  <si>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</si>
  <si>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</si>
  <si>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</si>
  <si>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</si>
  <si>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</si>
  <si>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</si>
  <si>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</si>
  <si>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</si>
  <si>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</si>
  <si>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</si>
  <si>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</si>
  <si>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</si>
  <si>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</si>
  <si>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</si>
  <si>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</si>
  <si>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</si>
  <si>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</si>
  <si>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</si>
  <si>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</si>
  <si>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</si>
  <si>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</si>
  <si>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</si>
  <si>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</si>
  <si>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</si>
  <si>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</si>
  <si>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</si>
  <si>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</si>
  <si>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</si>
  <si>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</si>
  <si>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</si>
  <si>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</si>
  <si>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</si>
  <si>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</si>
  <si>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</si>
  <si>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</si>
  <si>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</si>
  <si>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</si>
  <si>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</si>
  <si>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</si>
  <si>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</si>
  <si>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</si>
  <si>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</si>
  <si>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</si>
  <si>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</si>
  <si>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</si>
  <si>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</si>
  <si>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</si>
  <si>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</si>
  <si>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</si>
  <si>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</si>
  <si>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</si>
  <si>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</si>
  <si>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</si>
  <si>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</si>
  <si>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</si>
  <si>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</si>
  <si>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</si>
  <si>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</si>
  <si>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</si>
  <si>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</si>
  <si>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</si>
  <si>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</si>
  <si>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</si>
  <si>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</si>
  <si>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</si>
  <si>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</si>
  <si>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</si>
  <si>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</si>
  <si>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</si>
  <si>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</si>
  <si>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</si>
  <si>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</si>
  <si>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</si>
  <si>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</si>
  <si>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</si>
  <si>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</si>
  <si>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</si>
  <si>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</si>
  <si>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</si>
  <si>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</si>
  <si>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</si>
  <si>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</si>
  <si>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</si>
  <si>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</si>
  <si>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</si>
  <si>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</si>
  <si>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</si>
  <si>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</si>
  <si>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</si>
  <si>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</si>
  <si>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</si>
  <si>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</si>
  <si>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</si>
  <si>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</si>
  <si>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</si>
  <si>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</si>
  <si>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</si>
  <si>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</si>
  <si>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</si>
  <si>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</si>
  <si>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</si>
  <si>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</si>
  <si>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</si>
  <si>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</si>
  <si>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</si>
  <si>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</si>
  <si>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</si>
  <si>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</si>
  <si>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</si>
  <si>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</si>
  <si>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</si>
  <si>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</si>
  <si>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</si>
  <si>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</si>
  <si>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</si>
  <si>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</si>
  <si>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</si>
  <si>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</si>
  <si>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</si>
  <si>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</si>
  <si>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</si>
  <si>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</si>
  <si>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</si>
  <si>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</si>
  <si>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</si>
  <si>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</si>
  <si>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</si>
  <si>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</si>
  <si>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</si>
  <si>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</si>
  <si>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</si>
  <si>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</si>
  <si>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</si>
  <si>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</si>
  <si>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</si>
  <si>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</si>
  <si>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</si>
  <si>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</si>
  <si>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</si>
  <si>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</si>
  <si>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</si>
  <si>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</si>
  <si>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</si>
  <si>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</si>
  <si>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</si>
  <si>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</si>
  <si>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</si>
  <si>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</si>
  <si>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</si>
  <si>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</si>
  <si>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</si>
  <si>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</si>
  <si>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</si>
  <si>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</si>
  <si>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</si>
  <si>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</si>
  <si>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</si>
  <si>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</si>
  <si>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</si>
  <si>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</si>
  <si>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</si>
  <si>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</si>
  <si>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</si>
  <si>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</si>
  <si>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</si>
  <si>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</si>
  <si>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</si>
  <si>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</si>
  <si>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</si>
  <si>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</si>
  <si>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</si>
  <si>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</si>
  <si>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</si>
  <si>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</si>
  <si>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</si>
  <si>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</si>
  <si>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</si>
  <si>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</si>
  <si>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</si>
  <si>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</si>
  <si>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</si>
  <si>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</si>
  <si>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</si>
  <si>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</si>
  <si>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</si>
  <si>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</si>
  <si>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</si>
  <si>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</si>
  <si>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</si>
  <si>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</si>
  <si>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</si>
  <si>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</si>
  <si>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</si>
  <si>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</si>
  <si>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</si>
  <si>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</si>
  <si>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</si>
  <si>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</si>
  <si>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</si>
  <si>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</si>
  <si>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</si>
  <si>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</si>
  <si>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</si>
  <si>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</si>
  <si>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</si>
  <si>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</si>
  <si>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</si>
  <si>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</si>
  <si>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</si>
  <si>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</si>
  <si>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</si>
  <si>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</si>
  <si>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</si>
  <si>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</si>
  <si>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</si>
  <si>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</si>
  <si>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</si>
  <si>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</si>
  <si>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</si>
  <si>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</si>
  <si>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</si>
  <si>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</si>
  <si>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</si>
  <si>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</si>
  <si>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</si>
  <si>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</si>
  <si>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</si>
  <si>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</si>
  <si>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</si>
  <si>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</si>
  <si>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</si>
  <si>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</si>
  <si>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</si>
  <si>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</si>
  <si>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</si>
  <si>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</si>
  <si>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</si>
  <si>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</si>
  <si>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</si>
  <si>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</si>
  <si>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</si>
  <si>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</si>
  <si>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</si>
  <si>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</si>
  <si>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</si>
  <si>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</si>
  <si>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</si>
  <si>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</si>
  <si>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</si>
  <si>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</si>
  <si>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</si>
  <si>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</si>
  <si>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</si>
  <si>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</si>
  <si>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</si>
  <si>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</si>
  <si>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</si>
  <si>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</si>
  <si>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</si>
  <si>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</si>
  <si>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</si>
  <si>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</si>
  <si>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</si>
  <si>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</si>
  <si>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</si>
  <si>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</si>
  <si>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</si>
  <si>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</si>
  <si>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</si>
  <si>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</si>
  <si>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</si>
  <si>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</si>
  <si>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</si>
  <si>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</si>
  <si>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</si>
  <si>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</si>
  <si>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</si>
  <si>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</si>
  <si>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</si>
  <si>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</si>
  <si>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</si>
  <si>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</si>
  <si>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</si>
  <si>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</si>
  <si>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</si>
  <si>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</si>
  <si>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</si>
  <si>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</si>
  <si>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</si>
  <si>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</si>
  <si>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</si>
  <si>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</si>
  <si>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</si>
  <si>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</si>
  <si>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</si>
  <si>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</si>
  <si>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</si>
  <si>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</si>
  <si>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</si>
  <si>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</si>
  <si>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</si>
  <si>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</si>
  <si>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</si>
  <si>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</si>
  <si>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</si>
  <si>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</si>
  <si>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</si>
  <si>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</si>
  <si>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</si>
  <si>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</si>
  <si>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</si>
  <si>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</si>
  <si>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</si>
  <si>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</si>
  <si>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</si>
  <si>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</si>
  <si>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</si>
  <si>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</si>
  <si>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</si>
  <si>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</si>
  <si>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</si>
  <si>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</si>
  <si>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</si>
  <si>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</si>
  <si>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</si>
  <si>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</si>
  <si>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</si>
  <si>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</si>
  <si>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</si>
  <si>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</si>
  <si>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</si>
  <si>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</si>
  <si>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</si>
  <si>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</si>
  <si>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</si>
  <si>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</si>
  <si>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</si>
  <si>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</si>
  <si>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</si>
  <si>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</si>
  <si>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</si>
  <si>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</si>
  <si>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</si>
  <si>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</si>
  <si>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</si>
  <si>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</si>
  <si>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</si>
  <si>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</si>
  <si>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</si>
  <si>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</si>
  <si>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</si>
  <si>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</si>
  <si>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</si>
  <si>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</si>
  <si>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</si>
  <si>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</si>
  <si>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</si>
  <si>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</si>
  <si>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</si>
  <si>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</si>
  <si>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</si>
  <si>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</si>
  <si>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</si>
  <si>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</si>
  <si>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</si>
  <si>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</si>
  <si>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</si>
  <si>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</si>
  <si>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</si>
  <si>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</si>
  <si>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</si>
  <si>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</si>
  <si>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</si>
  <si>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</si>
  <si>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</si>
  <si>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</si>
  <si>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</si>
  <si>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</si>
  <si>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</si>
  <si>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</si>
  <si>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</si>
  <si>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</si>
  <si>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</si>
  <si>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</si>
  <si>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</si>
  <si>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</si>
  <si>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</si>
  <si>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</si>
  <si>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</si>
  <si>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</si>
  <si>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</si>
  <si>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</si>
  <si>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</si>
  <si>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</si>
  <si>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</si>
  <si>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</si>
  <si>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</si>
  <si>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</si>
  <si>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</si>
  <si>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</si>
  <si>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</si>
  <si>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</si>
  <si>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</si>
  <si>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</si>
  <si>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</si>
  <si>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</si>
  <si>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</si>
  <si>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</si>
  <si>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</si>
  <si>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</si>
  <si>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</si>
  <si>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</si>
  <si>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</si>
  <si>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</si>
  <si>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</si>
  <si>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</si>
  <si>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</si>
  <si>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</si>
  <si>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</si>
  <si>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</si>
  <si>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</si>
  <si>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</si>
  <si>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</si>
  <si>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</si>
  <si>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</si>
  <si>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</si>
  <si>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</si>
  <si>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</si>
  <si>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</si>
  <si>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</si>
  <si>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</si>
  <si>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</si>
  <si>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</si>
  <si>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</si>
  <si>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</si>
  <si>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</si>
  <si>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</si>
  <si>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</si>
  <si>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</si>
  <si>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</si>
  <si>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</si>
  <si>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</si>
  <si>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</si>
  <si>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</si>
  <si>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</si>
  <si>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</si>
  <si>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</si>
  <si>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</si>
  <si>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</si>
  <si>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</si>
  <si>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</si>
  <si>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</si>
  <si>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</si>
  <si>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</si>
  <si>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</si>
  <si>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</si>
  <si>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</si>
  <si>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</si>
  <si>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</si>
  <si>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</si>
  <si>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</si>
  <si>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</si>
  <si>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</si>
  <si>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</si>
  <si>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</si>
  <si>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</si>
  <si>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</si>
  <si>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</si>
  <si>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</si>
  <si>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</si>
  <si>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</si>
  <si>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</si>
  <si>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</si>
  <si>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</si>
  <si>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</si>
  <si>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</si>
  <si>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</si>
  <si>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</si>
  <si>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</si>
  <si>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</si>
  <si>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</si>
  <si>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</si>
  <si>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</si>
  <si>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</si>
  <si>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</si>
  <si>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</si>
  <si>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</si>
  <si>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</si>
  <si>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</si>
  <si>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</si>
  <si>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</si>
  <si>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</si>
  <si>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</si>
  <si>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</si>
  <si>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</si>
  <si>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</si>
  <si>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</si>
  <si>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</si>
  <si>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</si>
  <si>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</si>
  <si>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</si>
  <si>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</si>
  <si>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</si>
  <si>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</si>
  <si>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</si>
  <si>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</si>
  <si>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</si>
  <si>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</si>
  <si>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</si>
  <si>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</si>
  <si>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</si>
  <si>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</si>
  <si>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</si>
  <si>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</si>
  <si>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</si>
  <si>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</si>
  <si>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</si>
  <si>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</si>
  <si>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</si>
  <si>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</si>
  <si>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</si>
  <si>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</si>
  <si>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</si>
  <si>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</si>
  <si>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</si>
  <si>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</si>
  <si>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</si>
  <si>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</si>
  <si>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</si>
  <si>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</si>
  <si>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</si>
  <si>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</si>
  <si>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</si>
  <si>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</si>
  <si>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</si>
  <si>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</si>
  <si>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</si>
  <si>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</si>
  <si>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</si>
  <si>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</si>
  <si>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</si>
  <si>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</si>
  <si>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</si>
  <si>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</si>
  <si>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</si>
  <si>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</si>
  <si>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</si>
  <si>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</si>
  <si>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</si>
  <si>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</si>
  <si>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</si>
  <si>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</si>
  <si>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</si>
  <si>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</si>
  <si>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</si>
  <si>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</si>
  <si>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</si>
  <si>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</si>
  <si>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</si>
  <si>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</si>
  <si>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</si>
  <si>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</si>
  <si>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</si>
  <si>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</si>
  <si>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</si>
  <si>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</si>
  <si>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</si>
  <si>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</si>
  <si>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</si>
  <si>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</si>
  <si>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</si>
  <si>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</si>
  <si>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</si>
  <si>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</si>
  <si>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</si>
  <si>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</si>
  <si>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</si>
  <si>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</si>
  <si>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</si>
  <si>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</si>
  <si>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</si>
  <si>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</si>
  <si>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</si>
  <si>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</si>
  <si>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</si>
  <si>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</si>
  <si>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</si>
  <si>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</si>
  <si>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</si>
  <si>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</si>
  <si>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</si>
  <si>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</si>
  <si>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</si>
  <si>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</si>
  <si>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</si>
  <si>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</si>
  <si>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</si>
  <si>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</si>
  <si>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</si>
  <si>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</si>
  <si>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</si>
  <si>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</si>
  <si>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</si>
  <si>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</si>
  <si>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</si>
  <si>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</si>
  <si>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</si>
  <si>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</si>
  <si>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</si>
  <si>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</si>
  <si>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</si>
  <si>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</si>
  <si>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</si>
  <si>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</si>
  <si>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</si>
  <si>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</si>
  <si>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</si>
  <si>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</si>
  <si>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</si>
  <si>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</si>
  <si>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</si>
  <si>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</si>
  <si>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</si>
  <si>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</si>
  <si>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</si>
  <si>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</si>
  <si>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</si>
  <si>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</si>
  <si>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</si>
  <si>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</si>
  <si>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</si>
  <si>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</si>
  <si>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</si>
  <si>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</si>
  <si>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</si>
  <si>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</si>
  <si>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</si>
  <si>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</si>
  <si>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</si>
  <si>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</si>
  <si>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</si>
  <si>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</si>
  <si>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</si>
  <si>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</si>
  <si>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</si>
  <si>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</si>
  <si>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</si>
  <si>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</si>
  <si>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</si>
  <si>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</si>
  <si>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</si>
  <si>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</si>
  <si>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</si>
  <si>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</si>
  <si>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</si>
  <si>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</si>
  <si>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</si>
  <si>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</si>
  <si>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</si>
  <si>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</si>
  <si>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</si>
  <si>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</si>
  <si>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</si>
  <si>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</si>
  <si>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</si>
  <si>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</si>
  <si>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</si>
  <si>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</si>
  <si>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</si>
  <si>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</si>
  <si>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</si>
  <si>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</si>
  <si>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</si>
  <si>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</si>
  <si>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</si>
  <si>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</si>
  <si>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</si>
  <si>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</si>
  <si>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</si>
  <si>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</si>
  <si>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</si>
  <si>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</si>
  <si>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</si>
  <si>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</si>
  <si>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</si>
  <si>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</si>
  <si>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</si>
  <si>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</si>
  <si>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</si>
  <si>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</si>
  <si>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</si>
  <si>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</si>
  <si>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</si>
  <si>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</si>
  <si>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</si>
  <si>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</si>
  <si>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</si>
  <si>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</si>
  <si>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</si>
  <si>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</si>
  <si>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</si>
  <si>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</si>
  <si>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</si>
  <si>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</si>
  <si>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</si>
  <si>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</si>
  <si>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</si>
  <si>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</si>
  <si>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</si>
  <si>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</si>
  <si>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</si>
  <si>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</si>
  <si>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</si>
  <si>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</si>
  <si>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</si>
  <si>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</si>
  <si>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</si>
  <si>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</si>
  <si>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</si>
  <si>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</si>
  <si>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</si>
  <si>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</si>
  <si>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</si>
  <si>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</si>
  <si>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</si>
  <si>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</si>
  <si>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</si>
  <si>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</si>
  <si>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</si>
  <si>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</si>
  <si>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</si>
  <si>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</si>
  <si>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</si>
  <si>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</si>
  <si>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</si>
  <si>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</si>
  <si>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</si>
  <si>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</si>
  <si>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</si>
  <si>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</si>
  <si>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</si>
  <si>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</si>
  <si>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</si>
  <si>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</si>
  <si>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</si>
  <si>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</si>
  <si>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</si>
  <si>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</si>
  <si>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</si>
  <si>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</si>
  <si>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</si>
  <si>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</si>
  <si>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</si>
  <si>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</si>
  <si>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</si>
  <si>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</si>
  <si>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</si>
  <si>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</si>
  <si>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</si>
  <si>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</si>
  <si>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</si>
  <si>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</si>
  <si>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</si>
  <si>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</si>
  <si>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</si>
  <si>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</si>
  <si>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</si>
  <si>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</si>
  <si>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</si>
  <si>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</si>
  <si>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</si>
  <si>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</si>
  <si>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</si>
  <si>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</si>
  <si>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</si>
  <si>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</si>
  <si>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</si>
  <si>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</si>
  <si>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</si>
  <si>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</si>
  <si>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</si>
  <si>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</si>
  <si>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</si>
  <si>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</si>
  <si>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</si>
  <si>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</si>
  <si>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</si>
  <si>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</si>
  <si>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</si>
  <si>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</si>
  <si>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</si>
  <si>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</si>
  <si>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</si>
  <si>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</si>
  <si>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</si>
  <si>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</si>
  <si>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</si>
  <si>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</si>
  <si>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</si>
  <si>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</si>
  <si>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</si>
  <si>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</si>
  <si>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</si>
  <si>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</si>
  <si>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</si>
  <si>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</si>
  <si>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</si>
  <si>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</si>
  <si>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</si>
  <si>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</si>
  <si>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</si>
  <si>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</si>
  <si>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</si>
  <si>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</si>
  <si>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</si>
  <si>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</si>
  <si>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</si>
  <si>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</si>
  <si>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</si>
  <si>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</si>
  <si>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</si>
  <si>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</si>
  <si>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</si>
  <si>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</si>
  <si>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</si>
  <si>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</si>
  <si>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</si>
  <si>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</si>
  <si>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</si>
  <si>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</si>
  <si>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</si>
  <si>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</si>
  <si>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</si>
  <si>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</si>
  <si>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</si>
  <si>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</si>
  <si>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</si>
  <si>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</si>
  <si>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</si>
  <si>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</si>
  <si>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</si>
  <si>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</si>
  <si>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</si>
  <si>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</si>
  <si>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</si>
  <si>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</si>
  <si>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</si>
  <si>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</si>
  <si>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</si>
  <si>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</si>
  <si>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</si>
  <si>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</si>
  <si>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</si>
  <si>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</si>
  <si>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</si>
  <si>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</si>
  <si>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</si>
  <si>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</si>
  <si>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</si>
  <si>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</si>
  <si>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</si>
  <si>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</si>
  <si>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</si>
  <si>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</si>
  <si>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</si>
  <si>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</si>
  <si>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</si>
  <si>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</si>
  <si>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</si>
  <si>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</si>
  <si>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</si>
  <si>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</si>
  <si>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</si>
  <si>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</si>
  <si>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</si>
  <si>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</si>
  <si>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</si>
  <si>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</si>
  <si>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</si>
  <si>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</si>
  <si>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</si>
  <si>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</si>
  <si>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</si>
  <si>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</si>
  <si>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</si>
  <si>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</si>
  <si>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</si>
  <si>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</si>
  <si>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</si>
  <si>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</si>
  <si>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</si>
  <si>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</si>
  <si>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</si>
  <si>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</si>
  <si>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</si>
  <si>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</si>
  <si>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</si>
  <si>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</si>
  <si>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</si>
  <si>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</si>
  <si>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</si>
  <si>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</si>
  <si>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</si>
  <si>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</si>
  <si>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</si>
  <si>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</si>
  <si>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</si>
  <si>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</si>
  <si>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</si>
  <si>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</si>
  <si>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</si>
  <si>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</si>
  <si>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</si>
  <si>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</si>
  <si>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</si>
  <si>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</si>
  <si>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</si>
  <si>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</si>
  <si>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</si>
  <si>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</si>
  <si>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</si>
  <si>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</si>
  <si>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</si>
  <si>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</si>
  <si>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</si>
  <si>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</si>
  <si>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</si>
  <si>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</si>
  <si>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</si>
  <si>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</si>
  <si>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</si>
  <si>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</si>
  <si>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</si>
  <si>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</si>
  <si>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</si>
  <si>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</si>
  <si>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</si>
  <si>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</si>
  <si>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</si>
  <si>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</si>
  <si>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</si>
  <si>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</si>
  <si>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</si>
  <si>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</si>
  <si>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</si>
  <si>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</si>
  <si>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</si>
  <si>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</si>
  <si>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</si>
  <si>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</si>
  <si>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</si>
  <si>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</si>
  <si>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</si>
  <si>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</si>
  <si>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</si>
  <si>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</si>
  <si>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</si>
  <si>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</si>
  <si>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</si>
  <si>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</si>
  <si>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</si>
  <si>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</si>
  <si>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</si>
  <si>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</si>
  <si>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</si>
  <si>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</si>
  <si>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</si>
  <si>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</si>
  <si>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</si>
  <si>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</si>
  <si>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</si>
  <si>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</si>
  <si>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</si>
  <si>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</si>
  <si>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</si>
  <si>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</si>
  <si>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</si>
  <si>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</si>
  <si>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</si>
  <si>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</si>
  <si>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</si>
  <si>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</si>
  <si>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</si>
  <si>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</si>
  <si>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</si>
  <si>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</si>
  <si>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</si>
  <si>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</si>
  <si>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</si>
  <si>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</si>
  <si>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</si>
  <si>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</si>
  <si>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</si>
  <si>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</si>
  <si>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</si>
  <si>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</si>
  <si>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</si>
  <si>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</si>
  <si>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</si>
  <si>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</si>
  <si>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</si>
  <si>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</si>
  <si>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</si>
  <si>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</si>
  <si>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</si>
  <si>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</si>
  <si>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</si>
  <si>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</si>
  <si>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</si>
  <si>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</si>
  <si>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</si>
  <si>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</si>
  <si>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</si>
  <si>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</si>
  <si>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</si>
  <si>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</si>
  <si>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</si>
  <si>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</si>
  <si>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</si>
  <si>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</si>
  <si>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</si>
  <si>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</si>
  <si>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</si>
  <si>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</si>
  <si>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</si>
  <si>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</si>
  <si>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</si>
  <si>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</si>
  <si>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</si>
  <si>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</si>
  <si>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</si>
  <si>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</si>
  <si>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</si>
  <si>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</si>
  <si>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</si>
  <si>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</si>
  <si>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</si>
  <si>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</si>
  <si>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</si>
  <si>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</si>
  <si>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</si>
  <si>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</si>
  <si>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</si>
  <si>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</si>
  <si>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</si>
  <si>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</si>
  <si>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</si>
  <si>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</si>
  <si>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</si>
  <si>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</si>
  <si>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</si>
  <si>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</si>
  <si>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</si>
  <si>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</si>
  <si>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</si>
  <si>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</si>
  <si>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</si>
  <si>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</si>
  <si>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</si>
  <si>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</si>
  <si>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</si>
  <si>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</si>
  <si>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</si>
  <si>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</si>
  <si>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</si>
  <si>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</si>
  <si>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</si>
  <si>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</si>
  <si>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</si>
  <si>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</si>
  <si>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</si>
  <si>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</si>
  <si>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</si>
  <si>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</si>
  <si>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</si>
  <si>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</si>
  <si>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</si>
  <si>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</si>
  <si>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</si>
  <si>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</si>
  <si>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</si>
  <si>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</si>
  <si>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</si>
  <si>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</si>
  <si>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</si>
  <si>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</si>
  <si>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</si>
  <si>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</si>
  <si>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</si>
  <si>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</si>
  <si>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</si>
  <si>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</si>
  <si>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</si>
  <si>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</si>
  <si>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</si>
  <si>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</si>
  <si>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</si>
  <si>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</si>
  <si>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</si>
  <si>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</si>
  <si>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</si>
  <si>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</si>
  <si>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</si>
  <si>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</si>
  <si>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</si>
  <si>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</si>
  <si>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</si>
  <si>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</si>
  <si>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</si>
  <si>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</si>
  <si>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</si>
  <si>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</si>
  <si>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</si>
  <si>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</si>
  <si>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</si>
  <si>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</si>
  <si>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</si>
  <si>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</si>
  <si>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</si>
  <si>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</si>
  <si>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</si>
  <si>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</si>
  <si>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</si>
  <si>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</si>
  <si>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</si>
  <si>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</si>
  <si>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</si>
  <si>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</si>
  <si>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</si>
  <si>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</si>
  <si>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</si>
  <si>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</si>
  <si>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</si>
  <si>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</si>
  <si>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</si>
  <si>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</si>
  <si>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</si>
  <si>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</si>
  <si>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</si>
  <si>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</si>
  <si>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</si>
  <si>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</si>
  <si>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</si>
  <si>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</si>
  <si>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</si>
  <si>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</si>
  <si>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</si>
  <si>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</si>
  <si>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</si>
  <si>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</si>
  <si>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</si>
  <si>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</si>
  <si>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</si>
  <si>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</si>
  <si>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</si>
  <si>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</si>
  <si>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</si>
  <si>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</si>
  <si>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</si>
  <si>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</si>
  <si>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</si>
  <si>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</si>
  <si>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</si>
  <si>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</si>
  <si>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</si>
  <si>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</si>
  <si>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</si>
  <si>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</si>
  <si>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</si>
  <si>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</si>
  <si>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</si>
  <si>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</si>
  <si>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</si>
  <si>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</si>
  <si>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</si>
  <si>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</si>
  <si>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</si>
  <si>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</si>
  <si>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</si>
  <si>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</si>
  <si>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</si>
  <si>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</si>
  <si>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</si>
  <si>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</si>
  <si>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</si>
  <si>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</si>
  <si>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</si>
  <si>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</si>
  <si>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</si>
  <si>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</si>
  <si>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</si>
  <si>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</si>
  <si>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</si>
  <si>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</si>
  <si>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</si>
  <si>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</si>
  <si>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</si>
  <si>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</si>
  <si>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</si>
  <si>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</si>
  <si>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</si>
  <si>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</si>
  <si>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</si>
  <si>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</si>
  <si>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</si>
  <si>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</si>
  <si>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</si>
  <si>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</si>
  <si>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</si>
  <si>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</si>
  <si>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</si>
  <si>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</si>
  <si>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</si>
  <si>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</si>
  <si>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</si>
  <si>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</si>
  <si>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</si>
  <si>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</si>
  <si>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</si>
  <si>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</si>
  <si>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</si>
  <si>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</si>
  <si>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</si>
  <si>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</si>
  <si>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</si>
  <si>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</si>
  <si>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</si>
  <si>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</si>
  <si>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</si>
  <si>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</si>
  <si>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</si>
  <si>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</si>
  <si>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</si>
  <si>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</si>
  <si>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</si>
  <si>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</si>
  <si>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</si>
  <si>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</si>
  <si>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</si>
  <si>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</si>
  <si>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</si>
  <si>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</si>
  <si>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</si>
  <si>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</si>
  <si>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</si>
  <si>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</si>
  <si>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</si>
  <si>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</si>
  <si>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</si>
  <si>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</si>
  <si>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</si>
  <si>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</si>
  <si>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</si>
  <si>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</si>
  <si>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</si>
  <si>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</si>
  <si>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</si>
  <si>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</si>
  <si>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</si>
  <si>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</si>
  <si>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</si>
  <si>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</si>
  <si>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</si>
  <si>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</si>
  <si>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</si>
  <si>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</si>
  <si>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</si>
  <si>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</si>
  <si>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</si>
  <si>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</si>
  <si>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</si>
  <si>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</si>
  <si>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</si>
  <si>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</si>
  <si>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</si>
  <si>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</si>
  <si>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</si>
  <si>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</si>
  <si>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</si>
  <si>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</si>
  <si>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</si>
  <si>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</si>
  <si>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</si>
  <si>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</si>
  <si>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</si>
  <si>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</si>
  <si>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</si>
  <si>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</si>
  <si>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</si>
  <si>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</si>
  <si>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</si>
  <si>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</si>
  <si>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</si>
  <si>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</si>
  <si>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</si>
  <si>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</si>
  <si>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</si>
  <si>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</si>
  <si>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</si>
  <si>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</si>
  <si>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</si>
  <si>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</si>
  <si>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</si>
  <si>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</si>
  <si>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</si>
  <si>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</si>
  <si>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</si>
  <si>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</si>
  <si>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</si>
  <si>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</si>
  <si>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</si>
  <si>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</si>
  <si>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</si>
  <si>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</si>
  <si>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</si>
  <si>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</si>
  <si>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</si>
  <si>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</si>
  <si>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</si>
  <si>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</si>
  <si>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</si>
  <si>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</si>
  <si>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</si>
  <si>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</si>
  <si>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</si>
  <si>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</si>
  <si>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</si>
  <si>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</si>
  <si>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</si>
  <si>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</si>
  <si>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</si>
  <si>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</si>
  <si>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</si>
  <si>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</si>
  <si>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</si>
  <si>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</si>
  <si>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</si>
  <si>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</si>
  <si>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</si>
  <si>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</si>
  <si>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</si>
  <si>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</si>
  <si>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</si>
  <si>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</si>
  <si>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</si>
  <si>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</si>
  <si>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</si>
  <si>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</si>
  <si>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</si>
  <si>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</si>
  <si>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</si>
  <si>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</si>
  <si>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</si>
  <si>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</si>
  <si>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</si>
  <si>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</si>
  <si>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</si>
  <si>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</si>
  <si>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</si>
  <si>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</si>
  <si>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</si>
  <si>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</si>
  <si>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</si>
  <si>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</si>
  <si>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</si>
  <si>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</si>
  <si>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</si>
  <si>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</si>
  <si>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</si>
  <si>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</si>
  <si>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</si>
  <si>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</si>
  <si>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</si>
  <si>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</si>
  <si>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</si>
  <si>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</si>
  <si>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</si>
  <si>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</si>
  <si>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</si>
  <si>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</si>
  <si>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</si>
  <si>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</si>
  <si>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</si>
  <si>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</si>
  <si>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</si>
  <si>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</si>
  <si>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</si>
  <si>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</si>
  <si>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</si>
  <si>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</si>
  <si>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</si>
  <si>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</si>
  <si>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</si>
  <si>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</si>
  <si>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</si>
  <si>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</si>
  <si>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</si>
  <si>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</si>
  <si>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</si>
  <si>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</si>
  <si>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</si>
  <si>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</si>
  <si>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</si>
  <si>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</si>
  <si>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</si>
  <si>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</si>
  <si>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</si>
  <si>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</si>
  <si>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</si>
  <si>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</si>
  <si>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</si>
  <si>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</si>
  <si>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</si>
  <si>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</si>
  <si>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</si>
  <si>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</si>
  <si>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</si>
  <si>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</si>
  <si>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</si>
  <si>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</si>
  <si>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</si>
  <si>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</si>
  <si>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</si>
  <si>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</si>
  <si>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</si>
  <si>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</si>
  <si>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</si>
  <si>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</si>
  <si>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</si>
  <si>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</si>
  <si>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</si>
  <si>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</si>
  <si>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</si>
  <si>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</si>
  <si>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</si>
  <si>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</si>
  <si>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</si>
  <si>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</si>
  <si>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</si>
  <si>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</si>
  <si>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</si>
  <si>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</si>
  <si>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</si>
  <si>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</si>
  <si>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</si>
  <si>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</si>
  <si>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</si>
  <si>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</si>
  <si>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</si>
  <si>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</si>
  <si>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</si>
  <si>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</si>
  <si>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</si>
  <si>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</si>
  <si>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</si>
  <si>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</si>
  <si>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</si>
  <si>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</si>
  <si>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</si>
  <si>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</si>
  <si>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</si>
  <si>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</si>
  <si>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</si>
  <si>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</si>
  <si>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</si>
  <si>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</si>
  <si>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</si>
  <si>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</si>
  <si>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</si>
  <si>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</si>
  <si>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</si>
  <si>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</si>
  <si>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</si>
  <si>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</si>
  <si>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</si>
  <si>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</si>
  <si>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</si>
  <si>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</si>
  <si>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</si>
  <si>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</si>
  <si>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</si>
  <si>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</si>
  <si>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</si>
  <si>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</si>
  <si>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</si>
  <si>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</si>
  <si>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</si>
  <si>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</si>
  <si>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</si>
  <si>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</si>
  <si>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</si>
  <si>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</si>
  <si>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</si>
  <si>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</si>
  <si>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</si>
  <si>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</si>
  <si>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</si>
  <si>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</si>
  <si>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</si>
  <si>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</si>
  <si>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</si>
  <si>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</si>
  <si>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</si>
  <si>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</si>
  <si>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</si>
  <si>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</si>
  <si>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</si>
  <si>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</si>
  <si>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</si>
  <si>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</si>
  <si>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</si>
  <si>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</si>
  <si>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</si>
  <si>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</si>
  <si>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</si>
  <si>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</si>
  <si>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</si>
  <si>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</si>
  <si>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</si>
  <si>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</si>
  <si>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</si>
  <si>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</si>
  <si>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</si>
  <si>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</si>
  <si>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</si>
  <si>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</si>
  <si>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</si>
  <si>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</si>
  <si>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</si>
  <si>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</si>
  <si>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</si>
  <si>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</si>
  <si>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</si>
  <si>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</si>
  <si>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</si>
  <si>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</si>
  <si>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</si>
  <si>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</si>
  <si>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</si>
  <si>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</si>
  <si>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</si>
  <si>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</si>
  <si>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</si>
  <si>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</si>
  <si>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</si>
  <si>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</si>
  <si>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</si>
  <si>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</si>
  <si>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</si>
  <si>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</si>
  <si>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</si>
  <si>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</si>
  <si>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</si>
  <si>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</si>
  <si>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</si>
  <si>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</si>
  <si>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</si>
  <si>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</si>
  <si>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</si>
  <si>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</si>
  <si>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</si>
  <si>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</si>
  <si>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</si>
  <si>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</si>
  <si>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</si>
  <si>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</si>
  <si>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</si>
  <si>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</si>
  <si>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</si>
  <si>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</si>
  <si>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</si>
  <si>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</si>
  <si>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</si>
  <si>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</si>
  <si>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</si>
  <si>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</si>
  <si>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</si>
  <si>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</si>
  <si>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</si>
  <si>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</si>
  <si>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</si>
  <si>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</si>
  <si>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</si>
  <si>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</si>
  <si>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</si>
  <si>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</si>
  <si>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</si>
  <si>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</si>
  <si>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</si>
  <si>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</si>
  <si>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</si>
  <si>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</si>
  <si>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</si>
  <si>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</si>
  <si>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</si>
  <si>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</si>
  <si>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</si>
  <si>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</si>
  <si>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</si>
  <si>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</si>
  <si>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</si>
  <si>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</si>
  <si>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</si>
  <si>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</si>
  <si>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</si>
  <si>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</si>
  <si>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</si>
  <si>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</si>
  <si>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</si>
  <si>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</si>
  <si>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</si>
  <si>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</si>
  <si>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</si>
  <si>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</si>
  <si>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</si>
  <si>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</si>
  <si>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</si>
  <si>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</si>
  <si>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</si>
  <si>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</si>
  <si>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</si>
  <si>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</si>
  <si>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</si>
  <si>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</si>
  <si>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</si>
  <si>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</si>
  <si>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</si>
  <si>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</si>
  <si>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</si>
  <si>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</si>
  <si>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</si>
  <si>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</si>
  <si>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</si>
  <si>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</si>
  <si>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</si>
  <si>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</si>
  <si>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</si>
  <si>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</si>
  <si>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</si>
  <si>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</si>
  <si>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</si>
  <si>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</si>
  <si>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</si>
  <si>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</si>
  <si>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</si>
  <si>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</si>
  <si>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</si>
  <si>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</si>
  <si>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</si>
  <si>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</si>
  <si>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</si>
  <si>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</si>
  <si>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</si>
  <si>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</si>
  <si>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</si>
  <si>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</si>
  <si>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</si>
  <si>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</si>
  <si>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</si>
  <si>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</si>
  <si>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</si>
  <si>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</si>
  <si>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</si>
  <si>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</si>
  <si>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</si>
  <si>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</si>
  <si>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</si>
  <si>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</si>
  <si>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</si>
  <si>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</si>
  <si>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</si>
  <si>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</si>
  <si>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</si>
  <si>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</si>
  <si>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</si>
  <si>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</si>
  <si>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</si>
  <si>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</si>
  <si>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</si>
  <si>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</si>
  <si>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</si>
  <si>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</si>
  <si>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</si>
  <si>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</si>
  <si>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</si>
  <si>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</si>
  <si>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</si>
  <si>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</si>
  <si>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</si>
  <si>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</si>
  <si>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</si>
  <si>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</si>
  <si>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</si>
  <si>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</si>
  <si>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</si>
  <si>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</si>
  <si>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</si>
  <si>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</si>
  <si>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</si>
  <si>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</si>
  <si>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</si>
  <si>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</si>
  <si>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</si>
  <si>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</si>
  <si>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</si>
  <si>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</si>
  <si>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</si>
  <si>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</si>
  <si>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</si>
  <si>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</si>
  <si>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</si>
  <si>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</si>
  <si>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</si>
  <si>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</si>
  <si>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</si>
  <si>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</si>
  <si>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</si>
  <si>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</si>
  <si>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</si>
  <si>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</si>
  <si>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</si>
  <si>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</si>
  <si>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</si>
  <si>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</si>
  <si>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</si>
  <si>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</si>
  <si>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</si>
  <si>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</si>
  <si>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</si>
  <si>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</si>
  <si>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</si>
  <si>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</si>
  <si>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</si>
  <si>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</si>
  <si>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</si>
  <si>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</si>
  <si>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</si>
  <si>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</si>
  <si>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</si>
  <si>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</si>
  <si>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</si>
  <si>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</si>
  <si>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</si>
  <si>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</si>
  <si>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</si>
  <si>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</si>
  <si>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</si>
  <si>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</si>
  <si>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</si>
  <si>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</si>
  <si>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</si>
  <si>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</si>
  <si>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</si>
  <si>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</si>
  <si>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</si>
  <si>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</si>
  <si>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</si>
  <si>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</si>
  <si>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</si>
  <si>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</si>
  <si>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</si>
  <si>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</si>
  <si>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</si>
  <si>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</si>
  <si>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</si>
  <si>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</si>
  <si>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</si>
  <si>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</si>
  <si>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</si>
  <si>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</si>
  <si>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</si>
  <si>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</si>
  <si>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</si>
  <si>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</si>
  <si>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</si>
  <si>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</si>
  <si>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</si>
  <si>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</si>
  <si>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</si>
  <si>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</si>
  <si>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</si>
  <si>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</si>
  <si>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</si>
  <si>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</si>
  <si>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</si>
  <si>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</si>
  <si>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</si>
  <si>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</si>
  <si>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</si>
  <si>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</si>
  <si>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</si>
  <si>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</si>
  <si>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</si>
  <si>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</si>
  <si>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</si>
  <si>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</si>
  <si>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</si>
  <si>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</si>
  <si>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</si>
  <si>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</si>
  <si>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</si>
  <si>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</si>
  <si>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</si>
  <si>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</si>
  <si>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</si>
  <si>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</si>
  <si>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</si>
  <si>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</si>
  <si>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</si>
  <si>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</si>
  <si>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</si>
  <si>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</si>
  <si>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</si>
  <si>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</si>
  <si>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</si>
  <si>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</si>
  <si>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</si>
  <si>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</si>
  <si>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</si>
  <si>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</si>
  <si>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</si>
  <si>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</si>
  <si>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</si>
  <si>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</si>
  <si>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</si>
  <si>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</si>
  <si>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</si>
  <si>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</si>
  <si>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</si>
  <si>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</si>
  <si>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</si>
  <si>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</si>
  <si>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</si>
  <si>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</si>
  <si>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</si>
  <si>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</si>
  <si>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</si>
  <si>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</si>
  <si>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</si>
  <si>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</si>
  <si>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</si>
  <si>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</si>
  <si>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</si>
  <si>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</si>
  <si>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</si>
  <si>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</si>
  <si>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</si>
  <si>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</si>
  <si>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</si>
  <si>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</si>
  <si>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</si>
  <si>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</si>
  <si>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</si>
  <si>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</si>
  <si>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</si>
  <si>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</si>
  <si>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</si>
  <si>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</si>
  <si>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</si>
  <si>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</si>
  <si>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</si>
  <si>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</si>
  <si>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</si>
  <si>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</si>
  <si>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</si>
  <si>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</si>
  <si>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</si>
  <si>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</si>
  <si>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</si>
  <si>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</si>
  <si>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</si>
  <si>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</si>
  <si>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</si>
  <si>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</si>
  <si>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</si>
  <si>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</si>
  <si>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</si>
  <si>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</si>
  <si>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</si>
  <si>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</si>
  <si>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</si>
  <si>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</si>
  <si>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</si>
  <si>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</si>
  <si>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</si>
  <si>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</si>
  <si>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</si>
  <si>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</si>
  <si>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</si>
  <si>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</si>
  <si>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</si>
  <si>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</si>
  <si>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</si>
  <si>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</si>
  <si>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</si>
  <si>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</si>
  <si>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</si>
  <si>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</si>
  <si>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</si>
  <si>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</si>
  <si>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</si>
  <si>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</si>
  <si>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</si>
  <si>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</si>
  <si>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</si>
  <si>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</si>
  <si>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</si>
  <si>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</si>
  <si>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</si>
  <si>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</si>
  <si>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</si>
  <si>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</si>
  <si>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</si>
  <si>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</si>
  <si>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</si>
  <si>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</si>
  <si>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</si>
  <si>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</si>
  <si>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</si>
  <si>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</si>
  <si>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</si>
  <si>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</si>
  <si>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</si>
  <si>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</si>
  <si>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</si>
  <si>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</si>
  <si>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</si>
  <si>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</si>
  <si>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</si>
  <si>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</si>
  <si>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</si>
  <si>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</si>
  <si>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</si>
  <si>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</si>
  <si>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</si>
  <si>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</si>
  <si>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</si>
  <si>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</si>
  <si>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</si>
  <si>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</si>
  <si>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</si>
  <si>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</si>
  <si>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</si>
  <si>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</si>
  <si>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</si>
  <si>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</si>
  <si>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</si>
  <si>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</si>
  <si>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</si>
  <si>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</si>
  <si>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</si>
  <si>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</si>
  <si>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</si>
  <si>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</si>
  <si>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</si>
  <si>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</si>
  <si>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</si>
  <si>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</si>
  <si>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</si>
  <si>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</si>
  <si>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</si>
  <si>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</si>
  <si>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</si>
  <si>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</si>
  <si>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</si>
  <si>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</si>
  <si>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</si>
  <si>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</si>
  <si>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</si>
  <si>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</si>
  <si>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</si>
  <si>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</si>
  <si>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</si>
  <si>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</si>
  <si>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</si>
  <si>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</si>
  <si>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</si>
  <si>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</si>
  <si>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</si>
  <si>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</si>
  <si>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</si>
  <si>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</si>
  <si>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</si>
  <si>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</si>
  <si>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</si>
  <si>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</si>
  <si>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</si>
  <si>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</si>
  <si>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</si>
  <si>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</si>
  <si>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</si>
  <si>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</si>
  <si>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</si>
  <si>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</si>
  <si>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</si>
  <si>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</si>
  <si>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</si>
  <si>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</si>
  <si>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</si>
  <si>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</si>
  <si>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</si>
  <si>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</si>
  <si>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</si>
  <si>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</si>
  <si>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</si>
  <si>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</si>
  <si>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</si>
  <si>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</si>
  <si>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</si>
  <si>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</si>
  <si>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</si>
  <si>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</si>
  <si>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</si>
  <si>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</si>
  <si>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</si>
  <si>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</si>
  <si>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</si>
  <si>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</si>
  <si>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</si>
  <si>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</si>
  <si>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</si>
  <si>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</si>
  <si>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</si>
  <si>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</si>
  <si>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</si>
  <si>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</si>
  <si>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</si>
  <si>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</si>
  <si>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</si>
  <si>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</si>
  <si>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</si>
  <si>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</si>
  <si>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</si>
  <si>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</si>
  <si>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</si>
  <si>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</si>
  <si>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</si>
  <si>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</si>
  <si>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</si>
  <si>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</si>
  <si>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</si>
  <si>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</si>
  <si>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</si>
  <si>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</si>
  <si>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</si>
  <si>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</si>
  <si>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</si>
  <si>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</si>
  <si>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</si>
  <si>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</si>
  <si>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</si>
  <si>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</si>
  <si>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</si>
  <si>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</si>
  <si>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</si>
  <si>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</si>
  <si>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</si>
  <si>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</si>
  <si>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</si>
  <si>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</si>
  <si>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</si>
  <si>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</si>
  <si>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</si>
  <si>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</si>
  <si>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</si>
  <si>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</si>
  <si>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</si>
  <si>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</si>
  <si>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</si>
  <si>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</si>
  <si>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</si>
  <si>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</si>
  <si>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</si>
  <si>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</si>
  <si>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</si>
  <si>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</si>
  <si>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</si>
  <si>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</si>
  <si>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</si>
  <si>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</si>
  <si>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</si>
  <si>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</si>
  <si>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</si>
  <si>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</si>
  <si>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</si>
  <si>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</si>
  <si>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</si>
  <si>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</si>
  <si>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</si>
  <si>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</si>
  <si>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</si>
  <si>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</si>
  <si>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</si>
  <si>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</si>
  <si>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</si>
  <si>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</si>
  <si>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</si>
  <si>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</si>
  <si>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</si>
  <si>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</si>
  <si>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</si>
  <si>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</si>
  <si>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</si>
  <si>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</si>
  <si>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</si>
  <si>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</si>
  <si>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</si>
  <si>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</si>
  <si>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</si>
  <si>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</si>
  <si>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</si>
  <si>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</si>
  <si>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</si>
  <si>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</si>
  <si>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</si>
  <si>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</si>
  <si>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</si>
  <si>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</si>
  <si>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</si>
  <si>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</si>
  <si>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</si>
  <si>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</si>
  <si>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</si>
  <si>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</si>
  <si>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</si>
  <si>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</si>
  <si>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</si>
  <si>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</si>
  <si>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</si>
  <si>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</si>
  <si>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</si>
  <si>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</si>
  <si>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</si>
  <si>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</si>
  <si>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</si>
  <si>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</si>
  <si>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</si>
  <si>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</si>
  <si>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</si>
  <si>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</si>
  <si>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</si>
  <si>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</si>
  <si>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</si>
  <si>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</si>
  <si>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</si>
  <si>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</si>
  <si>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</si>
  <si>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</si>
  <si>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</si>
  <si>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</si>
  <si>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</si>
  <si>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</si>
  <si>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</si>
  <si>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</si>
  <si>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</si>
  <si>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</si>
  <si>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</si>
  <si>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</si>
  <si>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</si>
  <si>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</si>
  <si>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</si>
  <si>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</si>
  <si>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</si>
  <si>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</si>
  <si>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</si>
  <si>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</si>
  <si>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</si>
  <si>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</si>
  <si>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</si>
  <si>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</si>
  <si>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</si>
  <si>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</si>
  <si>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</si>
  <si>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</si>
  <si>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</si>
  <si>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</si>
  <si>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</si>
  <si>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</si>
  <si>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</si>
  <si>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</si>
  <si>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</si>
  <si>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</si>
  <si>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</si>
  <si>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</si>
  <si>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</si>
  <si>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</si>
  <si>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</si>
  <si>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</si>
  <si>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</si>
  <si>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</si>
  <si>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</si>
  <si>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</si>
  <si>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</si>
  <si>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</si>
  <si>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</si>
  <si>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</si>
  <si>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</si>
  <si>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</si>
  <si>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</si>
  <si>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</si>
  <si>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</si>
  <si>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</si>
  <si>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</si>
  <si>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</si>
  <si>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</si>
  <si>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</si>
  <si>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</si>
  <si>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</si>
  <si>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</si>
  <si>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</si>
  <si>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</si>
  <si>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</si>
  <si>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</si>
  <si>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</si>
  <si>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</si>
  <si>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</si>
  <si>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</si>
  <si>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</si>
  <si>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</si>
  <si>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</si>
  <si>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</si>
  <si>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</si>
  <si>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</si>
  <si>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</si>
  <si>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</si>
  <si>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</si>
  <si>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</si>
  <si>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</si>
  <si>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</si>
  <si>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</si>
  <si>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</si>
  <si>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</si>
  <si>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</si>
  <si>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</si>
  <si>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</si>
  <si>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</si>
  <si>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</si>
  <si>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</si>
  <si>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</si>
  <si>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</si>
  <si>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</si>
  <si>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</si>
  <si>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</si>
  <si>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</si>
  <si>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</si>
  <si>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</si>
  <si>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</si>
  <si>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</si>
  <si>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</si>
  <si>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</si>
  <si>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</si>
  <si>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</si>
  <si>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</si>
  <si>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</si>
  <si>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</si>
  <si>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</si>
  <si>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</si>
  <si>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</si>
  <si>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</si>
  <si>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</si>
  <si>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</si>
  <si>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</si>
  <si>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</si>
  <si>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</si>
  <si>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</si>
  <si>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</si>
  <si>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</si>
  <si>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</si>
  <si>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</si>
  <si>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</si>
  <si>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</si>
  <si>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</si>
  <si>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</si>
  <si>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</si>
  <si>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</si>
  <si>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</si>
  <si>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</si>
  <si>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</si>
  <si>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</si>
  <si>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</si>
  <si>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</si>
  <si>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</si>
  <si>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</si>
  <si>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</si>
  <si>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</si>
  <si>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</si>
  <si>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</si>
  <si>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</si>
  <si>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</si>
  <si>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</si>
  <si>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</si>
  <si>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</si>
  <si>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</si>
  <si>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</si>
  <si>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</si>
  <si>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</si>
  <si>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</si>
  <si>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</si>
  <si>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</si>
  <si>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</si>
  <si>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</si>
  <si>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</si>
  <si>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</si>
  <si>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</si>
  <si>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</si>
  <si>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</si>
  <si>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</si>
  <si>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</si>
  <si>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</si>
  <si>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</si>
  <si>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</si>
  <si>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</si>
  <si>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</si>
  <si>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</si>
  <si>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</si>
  <si>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</si>
  <si>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</si>
  <si>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</si>
  <si>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</si>
  <si>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</si>
  <si>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</si>
  <si>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</si>
  <si>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</si>
  <si>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</si>
  <si>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</si>
  <si>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</si>
  <si>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</si>
  <si>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</si>
  <si>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</si>
  <si>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</si>
  <si>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</si>
  <si>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</si>
  <si>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</si>
  <si>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</si>
  <si>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</si>
  <si>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</si>
  <si>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</si>
  <si>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</si>
  <si>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</si>
  <si>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</si>
  <si>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</si>
  <si>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</si>
  <si>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</si>
  <si>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</si>
  <si>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</si>
  <si>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</si>
  <si>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</si>
  <si>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</si>
  <si>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</si>
  <si>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</si>
  <si>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</si>
  <si>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</si>
  <si>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</si>
  <si>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</si>
  <si>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</si>
  <si>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</si>
  <si>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</si>
  <si>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</si>
  <si>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</si>
  <si>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</si>
  <si>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</si>
  <si>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</si>
  <si>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</si>
  <si>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</si>
  <si>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</si>
  <si>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</si>
  <si>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</si>
  <si>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</si>
  <si>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</si>
  <si>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</si>
  <si>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</si>
  <si>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</si>
  <si>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</si>
  <si>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</si>
  <si>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</si>
  <si>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</si>
  <si>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</si>
  <si>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</si>
  <si>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</si>
  <si>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</si>
  <si>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</si>
  <si>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</si>
  <si>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</si>
  <si>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</si>
  <si>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</si>
  <si>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</si>
  <si>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</si>
  <si>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</si>
  <si>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</si>
  <si>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</si>
  <si>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</si>
  <si>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</si>
  <si>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</si>
  <si>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</si>
  <si>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</si>
  <si>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</si>
  <si>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</si>
  <si>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</si>
  <si>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</si>
  <si>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</si>
  <si>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</si>
  <si>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</si>
  <si>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</si>
  <si>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</si>
  <si>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</si>
  <si>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</si>
  <si>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</si>
  <si>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</si>
  <si>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</si>
  <si>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</si>
  <si>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</si>
  <si>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</si>
  <si>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</si>
  <si>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</si>
  <si>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</si>
  <si>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</si>
  <si>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</si>
  <si>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</si>
  <si>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</si>
  <si>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</si>
  <si>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</si>
  <si>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</si>
  <si>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</si>
  <si>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</si>
  <si>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</si>
  <si>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</si>
  <si>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</si>
  <si>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</si>
  <si>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</si>
  <si>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</si>
  <si>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</si>
  <si>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</si>
  <si>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</si>
  <si>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</si>
  <si>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</si>
  <si>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</si>
  <si>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</si>
  <si>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</si>
  <si>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</si>
  <si>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</si>
  <si>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</si>
  <si>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</si>
  <si>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</si>
  <si>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</si>
  <si>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</si>
  <si>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</si>
  <si>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</si>
  <si>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</si>
  <si>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</si>
  <si>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</si>
  <si>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</si>
  <si>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</si>
  <si>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</si>
  <si>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</si>
  <si>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</si>
  <si>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</si>
  <si>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</si>
  <si>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</si>
  <si>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</si>
  <si>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</si>
  <si>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</si>
  <si>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</si>
  <si>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</si>
  <si>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</si>
  <si>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</si>
  <si>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</si>
  <si>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</si>
  <si>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</si>
  <si>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</si>
  <si>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</si>
  <si>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</si>
  <si>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</si>
  <si>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</si>
  <si>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</si>
  <si>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</si>
  <si>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</si>
  <si>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</si>
  <si>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</si>
  <si>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</si>
  <si>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</si>
  <si>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</si>
  <si>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</si>
  <si>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</si>
  <si>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</si>
  <si>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</si>
  <si>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</si>
  <si>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</si>
  <si>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</si>
  <si>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</si>
  <si>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</si>
  <si>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</si>
  <si>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</si>
  <si>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</si>
  <si>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</si>
  <si>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</si>
  <si>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</si>
  <si>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</si>
  <si>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</si>
  <si>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</si>
  <si>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</si>
  <si>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</si>
  <si>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</si>
  <si>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</si>
  <si>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</si>
  <si>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</si>
  <si>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</si>
  <si>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</si>
  <si>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</si>
  <si>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</si>
  <si>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</si>
  <si>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</si>
  <si>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</si>
  <si>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</si>
  <si>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</si>
  <si>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</si>
  <si>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</si>
  <si>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</si>
  <si>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</si>
  <si>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</si>
  <si>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</si>
  <si>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</si>
  <si>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</si>
  <si>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</si>
  <si>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</si>
  <si>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</si>
  <si>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</si>
  <si>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</si>
  <si>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</si>
  <si>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</si>
  <si>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</si>
  <si>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</si>
  <si>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</si>
  <si>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</si>
  <si>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</si>
  <si>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</si>
  <si>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</si>
  <si>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</si>
  <si>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</si>
  <si>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</si>
  <si>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</si>
  <si>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</si>
  <si>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</si>
  <si>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</si>
  <si>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</si>
  <si>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</si>
  <si>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</si>
  <si>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</si>
  <si>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</si>
  <si>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</si>
  <si>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</si>
  <si>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</si>
  <si>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</si>
  <si>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</si>
  <si>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</si>
  <si>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</si>
  <si>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</si>
  <si>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</si>
  <si>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</si>
  <si>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</si>
  <si>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</si>
  <si>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</si>
  <si>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</si>
  <si>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</si>
  <si>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</si>
  <si>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</si>
  <si>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</si>
  <si>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</si>
  <si>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</si>
  <si>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</si>
  <si>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</si>
  <si>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</si>
  <si>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</si>
  <si>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</si>
  <si>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</si>
  <si>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</si>
  <si>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</si>
  <si>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</si>
  <si>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</si>
  <si>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</si>
  <si>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</si>
  <si>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</si>
  <si>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</si>
  <si>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</si>
  <si>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</si>
  <si>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</si>
  <si>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</si>
  <si>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</si>
  <si>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</si>
  <si>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</si>
  <si>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</si>
  <si>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</si>
  <si>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</si>
  <si>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</si>
  <si>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</si>
  <si>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</si>
  <si>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</si>
  <si>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</si>
  <si>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</si>
  <si>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</si>
  <si>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</si>
  <si>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</si>
  <si>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</si>
  <si>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</si>
  <si>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</si>
  <si>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</si>
  <si>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</si>
  <si>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</si>
  <si>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</si>
  <si>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</si>
  <si>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</si>
  <si>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</si>
  <si>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</si>
  <si>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</si>
  <si>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</si>
  <si>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</si>
  <si>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</si>
  <si>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</si>
  <si>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</si>
  <si>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</si>
  <si>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</si>
  <si>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</si>
  <si>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</si>
  <si>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</si>
  <si>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</si>
  <si>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</si>
  <si>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</si>
  <si>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</si>
  <si>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</si>
  <si>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</si>
  <si>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</si>
  <si>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</si>
  <si>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</si>
  <si>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</si>
  <si>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</si>
  <si>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</si>
  <si>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</si>
  <si>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</si>
  <si>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</si>
  <si>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</si>
  <si>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</si>
  <si>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</si>
  <si>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</si>
  <si>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</si>
  <si>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</si>
  <si>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</si>
  <si>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</si>
  <si>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</si>
  <si>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</si>
  <si>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</si>
  <si>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</si>
  <si>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</si>
  <si>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</si>
  <si>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</si>
  <si>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</si>
  <si>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</si>
  <si>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</si>
  <si>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</si>
  <si>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</si>
  <si>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</si>
  <si>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</si>
  <si>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</si>
  <si>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</si>
  <si>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</si>
  <si>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</si>
  <si>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</si>
  <si>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</si>
  <si>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</si>
  <si>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</si>
  <si>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</si>
  <si>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</si>
  <si>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</si>
  <si>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</si>
  <si>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</si>
  <si>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</si>
  <si>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</si>
  <si>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</si>
  <si>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</si>
  <si>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</si>
  <si>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</si>
  <si>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</si>
  <si>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</si>
  <si>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</si>
  <si>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</si>
  <si>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</si>
  <si>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</si>
  <si>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</si>
  <si>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</si>
  <si>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</si>
  <si>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</si>
  <si>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</si>
  <si>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</si>
  <si>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</si>
  <si>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</si>
  <si>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</si>
  <si>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</si>
  <si>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</si>
  <si>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</si>
  <si>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</si>
  <si>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</si>
  <si>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</si>
  <si>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</si>
  <si>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</si>
  <si>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</si>
  <si>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</si>
  <si>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</si>
  <si>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</si>
  <si>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</si>
  <si>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</si>
  <si>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</si>
  <si>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</si>
  <si>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</si>
  <si>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</si>
  <si>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</si>
  <si>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</si>
  <si>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</si>
  <si>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</si>
  <si>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</si>
  <si>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</si>
  <si>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</si>
  <si>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</si>
  <si>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</si>
  <si>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</si>
  <si>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</si>
  <si>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</si>
  <si>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</si>
  <si>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</si>
  <si>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</si>
  <si>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</si>
  <si>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</si>
  <si>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</si>
  <si>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</si>
  <si>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</si>
  <si>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</si>
  <si>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</si>
  <si>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</si>
  <si>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</si>
  <si>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</si>
  <si>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</si>
  <si>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</si>
  <si>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</si>
  <si>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</si>
  <si>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</si>
  <si>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</si>
  <si>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</si>
  <si>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</si>
  <si>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</si>
  <si>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</si>
  <si>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</si>
  <si>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</si>
  <si>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</si>
  <si>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</si>
  <si>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</si>
  <si>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</si>
  <si>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</si>
  <si>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</si>
  <si>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</si>
  <si>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</si>
  <si>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</si>
  <si>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</si>
  <si>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</si>
  <si>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</si>
  <si>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</si>
  <si>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</si>
  <si>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</si>
  <si>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</si>
  <si>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</si>
  <si>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</si>
  <si>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</si>
  <si>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</si>
  <si>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</si>
  <si>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</si>
  <si>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</si>
  <si>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</si>
  <si>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</si>
  <si>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</si>
  <si>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</si>
  <si>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</si>
  <si>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</si>
  <si>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</si>
  <si>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</si>
  <si>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</si>
  <si>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</si>
  <si>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</si>
  <si>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</si>
  <si>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</si>
  <si>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</si>
  <si>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</si>
  <si>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</si>
  <si>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</si>
  <si>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</si>
  <si>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</si>
  <si>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</si>
  <si>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</si>
  <si>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</si>
  <si>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</si>
  <si>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</si>
  <si>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</si>
  <si>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</si>
  <si>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</si>
  <si>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</si>
  <si>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</si>
  <si>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</si>
  <si>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</si>
  <si>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</si>
  <si>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</si>
  <si>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</si>
  <si>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</si>
  <si>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</si>
  <si>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</si>
  <si>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</si>
  <si>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</si>
  <si>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</si>
  <si>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</si>
  <si>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</si>
  <si>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</si>
  <si>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</si>
  <si>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</si>
  <si>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</si>
  <si>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</si>
  <si>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</si>
  <si>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</si>
  <si>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</si>
  <si>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</si>
  <si>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</si>
  <si>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</si>
  <si>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</si>
  <si>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</si>
  <si>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</si>
  <si>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</si>
  <si>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</si>
  <si>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</si>
  <si>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</si>
  <si>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</si>
  <si>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</si>
  <si>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</si>
  <si>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</si>
  <si>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</si>
  <si>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</si>
  <si>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</si>
  <si>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</si>
  <si>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</si>
  <si>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</si>
  <si>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</si>
  <si>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</si>
  <si>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</si>
  <si>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</si>
  <si>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</si>
  <si>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</si>
  <si>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</si>
  <si>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</si>
  <si>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</si>
  <si>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</si>
  <si>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</si>
  <si>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</si>
  <si>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</si>
  <si>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</si>
  <si>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</si>
  <si>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</si>
  <si>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</si>
  <si>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</si>
  <si>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</si>
  <si>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</si>
  <si>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</si>
  <si>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</si>
  <si>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</si>
  <si>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</si>
  <si>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</si>
  <si>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</si>
  <si>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</si>
  <si>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</si>
  <si>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</si>
  <si>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</si>
  <si>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</si>
  <si>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</si>
  <si>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</si>
  <si>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</si>
  <si>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</si>
  <si>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</si>
  <si>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</si>
  <si>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</si>
  <si>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</si>
  <si>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</si>
  <si>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</si>
  <si>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</si>
  <si>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</si>
  <si>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</si>
  <si>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</si>
  <si>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</si>
  <si>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</si>
  <si>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</si>
  <si>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</si>
  <si>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</si>
  <si>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</si>
  <si>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</si>
  <si>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</si>
  <si>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</si>
  <si>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</si>
  <si>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</si>
  <si>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</si>
  <si>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</si>
  <si>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</si>
  <si>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</si>
  <si>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</si>
  <si>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</si>
  <si>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</si>
  <si>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</si>
  <si>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</si>
  <si>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</si>
  <si>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</si>
  <si>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</si>
  <si>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</si>
  <si>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</si>
  <si>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</si>
  <si>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</si>
  <si>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</si>
  <si>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</si>
  <si>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</si>
  <si>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</si>
  <si>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</si>
  <si>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</si>
  <si>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</si>
  <si>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</si>
  <si>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</si>
  <si>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</si>
  <si>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</si>
  <si>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</si>
  <si>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</si>
  <si>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</si>
  <si>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</si>
  <si>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</si>
  <si>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</si>
  <si>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</si>
  <si>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</si>
  <si>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</si>
  <si>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</si>
  <si>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</si>
  <si>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</si>
  <si>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</si>
  <si>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</si>
  <si>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</si>
  <si>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</si>
  <si>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</si>
  <si>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</si>
  <si>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</si>
  <si>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</si>
  <si>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</si>
  <si>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</si>
  <si>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</si>
  <si>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</si>
  <si>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</si>
  <si>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</si>
  <si>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</si>
  <si>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</si>
  <si>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</si>
  <si>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</si>
  <si>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</si>
  <si>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</si>
  <si>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</si>
  <si>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</si>
  <si>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</si>
  <si>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</si>
  <si>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</si>
  <si>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</si>
  <si>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</si>
  <si>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</si>
  <si>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</si>
  <si>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</si>
  <si>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</si>
  <si>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</si>
  <si>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</si>
  <si>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</si>
  <si>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</si>
  <si>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</si>
  <si>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</si>
  <si>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</si>
  <si>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</si>
  <si>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</si>
  <si>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</si>
  <si>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</si>
  <si>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</si>
  <si>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</si>
  <si>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</si>
  <si>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</si>
  <si>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</si>
  <si>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</si>
  <si>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</si>
  <si>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</si>
  <si>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</si>
  <si>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</si>
  <si>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</si>
  <si>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</si>
  <si>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</si>
  <si>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</si>
  <si>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</si>
  <si>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</si>
  <si>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</si>
  <si>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</si>
  <si>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</si>
  <si>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</si>
  <si>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</si>
  <si>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</si>
  <si>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</si>
  <si>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</si>
  <si>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</si>
  <si>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</si>
  <si>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</si>
  <si>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</si>
  <si>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</si>
  <si>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</si>
  <si>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</si>
  <si>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</si>
  <si>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</si>
  <si>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</si>
  <si>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</si>
  <si>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</si>
  <si>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</si>
  <si>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</si>
  <si>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</si>
  <si>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</si>
  <si>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</si>
  <si>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</si>
  <si>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</si>
  <si>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</si>
  <si>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</si>
  <si>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</si>
  <si>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</si>
  <si>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</si>
  <si>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</si>
  <si>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</si>
  <si>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</si>
  <si>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</si>
  <si>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</si>
  <si>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</si>
  <si>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</si>
  <si>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</si>
  <si>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</si>
  <si>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</si>
  <si>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</si>
  <si>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</si>
  <si>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</si>
  <si>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</si>
  <si>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</si>
  <si>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</si>
  <si>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</si>
  <si>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</si>
  <si>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</si>
  <si>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</si>
  <si>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</si>
  <si>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</si>
  <si>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</si>
  <si>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</si>
  <si>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</si>
  <si>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</si>
  <si>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</si>
  <si>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</si>
  <si>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</si>
  <si>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</si>
  <si>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</si>
  <si>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</si>
  <si>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</si>
  <si>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</si>
  <si>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</si>
  <si>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</si>
  <si>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</si>
  <si>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</si>
  <si>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</si>
  <si>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</si>
  <si>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</si>
  <si>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</si>
  <si>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</si>
  <si>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</si>
  <si>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</si>
  <si>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</si>
  <si>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</si>
  <si>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</si>
  <si>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</si>
  <si>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</si>
  <si>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</si>
  <si>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</si>
  <si>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</si>
  <si>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</si>
  <si>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</si>
  <si>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</si>
  <si>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</si>
  <si>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</si>
  <si>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</si>
  <si>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</si>
  <si>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</si>
  <si>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</si>
  <si>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</si>
  <si>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</si>
  <si>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</si>
  <si>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</si>
  <si>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</si>
  <si>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</si>
  <si>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</si>
  <si>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</si>
  <si>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</si>
  <si>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</si>
  <si>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</si>
  <si>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</si>
  <si>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</si>
  <si>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</si>
  <si>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</si>
  <si>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</si>
  <si>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</si>
  <si>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</si>
  <si>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</si>
  <si>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</si>
  <si>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</si>
  <si>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</si>
  <si>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</si>
  <si>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</si>
  <si>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</si>
  <si>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</si>
  <si>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</si>
  <si>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</si>
  <si>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</si>
  <si>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</si>
  <si>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</si>
  <si>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</si>
  <si>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</si>
  <si>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</si>
  <si>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</si>
  <si>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</si>
  <si>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</si>
  <si>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</si>
  <si>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</si>
  <si>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</si>
  <si>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</si>
  <si>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</si>
  <si>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</si>
  <si>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</si>
  <si>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</si>
  <si>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</si>
  <si>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</si>
  <si>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</si>
  <si>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</si>
  <si>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</si>
  <si>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</si>
  <si>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</si>
  <si>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</si>
  <si>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</si>
  <si>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</si>
  <si>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</si>
  <si>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</si>
  <si>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</si>
  <si>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</si>
  <si>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</si>
  <si>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</si>
  <si>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</si>
  <si>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</si>
  <si>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</si>
  <si>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</si>
  <si>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</si>
  <si>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</si>
  <si>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</si>
  <si>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</si>
  <si>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</si>
  <si>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</si>
  <si>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</si>
  <si>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</si>
  <si>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</si>
  <si>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</si>
  <si>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</si>
  <si>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</si>
  <si>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</si>
  <si>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</si>
  <si>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</si>
  <si>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</si>
  <si>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</si>
  <si>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</si>
  <si>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</si>
  <si>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</si>
  <si>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</si>
  <si>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</si>
  <si>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</si>
  <si>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</si>
  <si>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</si>
  <si>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</si>
  <si>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</si>
  <si>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</si>
  <si>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</si>
  <si>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</si>
  <si>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</si>
  <si>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</si>
  <si>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</si>
  <si>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</si>
  <si>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</si>
  <si>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</si>
  <si>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</si>
  <si>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</si>
  <si>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</si>
  <si>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</si>
  <si>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</si>
  <si>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</si>
  <si>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</si>
  <si>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</si>
  <si>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</si>
  <si>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</si>
  <si>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</si>
  <si>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</si>
  <si>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</si>
  <si>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</si>
  <si>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</si>
  <si>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</si>
  <si>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</si>
  <si>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</si>
  <si>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</si>
  <si>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</si>
  <si>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</si>
  <si>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</si>
  <si>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</si>
  <si>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</si>
  <si>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</si>
  <si>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</si>
  <si>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</si>
  <si>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</si>
  <si>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</si>
  <si>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</si>
  <si>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</si>
  <si>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</si>
  <si>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</si>
  <si>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</si>
  <si>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</si>
  <si>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</si>
  <si>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</si>
  <si>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</si>
  <si>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</si>
  <si>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</si>
  <si>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</si>
  <si>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</si>
  <si>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</si>
  <si>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</si>
  <si>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</si>
  <si>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</si>
  <si>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</si>
  <si>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</si>
  <si>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</si>
  <si>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</si>
  <si>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</si>
  <si>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</si>
  <si>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</si>
  <si>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</si>
  <si>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</si>
  <si>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</si>
  <si>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</si>
  <si>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</si>
  <si>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</si>
  <si>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</si>
  <si>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</si>
  <si>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</si>
  <si>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</si>
  <si>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</si>
  <si>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</si>
  <si>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</si>
  <si>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</si>
  <si>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</si>
  <si>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</si>
  <si>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</si>
  <si>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</si>
  <si>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</si>
  <si>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</si>
  <si>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</si>
  <si>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</si>
  <si>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</si>
  <si>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</si>
  <si>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</si>
  <si>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</si>
  <si>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</si>
  <si>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</si>
  <si>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</si>
  <si>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</si>
  <si>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</si>
  <si>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</si>
  <si>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</si>
  <si>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</si>
  <si>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</si>
  <si>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</si>
  <si>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</si>
  <si>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</si>
  <si>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</si>
  <si>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</si>
  <si>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</si>
  <si>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</si>
  <si>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</si>
  <si>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</si>
  <si>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</si>
  <si>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</si>
  <si>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</si>
  <si>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</si>
  <si>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</si>
  <si>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</si>
  <si>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</si>
  <si>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</si>
  <si>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</si>
  <si>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</si>
  <si>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</si>
  <si>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</si>
  <si>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</si>
  <si>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</si>
  <si>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</si>
  <si>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</si>
  <si>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</si>
  <si>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</si>
  <si>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</si>
  <si>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</si>
  <si>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</si>
  <si>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</si>
  <si>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</si>
  <si>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</si>
  <si>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</si>
  <si>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</si>
  <si>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</si>
  <si>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</si>
  <si>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</si>
  <si>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</si>
  <si>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</si>
  <si>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</si>
  <si>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</si>
  <si>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</si>
  <si>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</si>
  <si>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</si>
  <si>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</si>
  <si>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</si>
  <si>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</si>
  <si>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</si>
  <si>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</si>
  <si>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</si>
  <si>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</si>
  <si>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</si>
  <si>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</si>
  <si>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</si>
  <si>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</si>
  <si>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</si>
  <si>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</si>
  <si>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</si>
  <si>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</si>
  <si>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</si>
  <si>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</si>
  <si>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</si>
  <si>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</si>
  <si>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</si>
  <si>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</si>
  <si>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</si>
  <si>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</si>
  <si>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</si>
  <si>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</si>
  <si>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</si>
  <si>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</si>
  <si>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</si>
  <si>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</si>
  <si>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</si>
  <si>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</si>
  <si>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</si>
  <si>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</si>
  <si>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</si>
  <si>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</si>
  <si>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</si>
  <si>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</si>
  <si>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</si>
  <si>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</si>
  <si>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</si>
  <si>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</si>
  <si>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</si>
  <si>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</si>
  <si>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</si>
  <si>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</si>
  <si>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</si>
  <si>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</si>
  <si>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</si>
  <si>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</si>
  <si>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</si>
  <si>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</si>
  <si>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</si>
  <si>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</si>
  <si>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</si>
  <si>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</si>
  <si>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</si>
  <si>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</si>
  <si>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</si>
  <si>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</si>
  <si>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</si>
  <si>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</si>
  <si>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</si>
  <si>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</si>
  <si>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</si>
  <si>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</si>
  <si>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</si>
  <si>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</si>
  <si>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</si>
  <si>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</si>
  <si>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</si>
  <si>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</si>
  <si>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</si>
  <si>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</si>
  <si>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</si>
  <si>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</si>
  <si>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</si>
  <si>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</si>
  <si>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</si>
  <si>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</si>
  <si>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</si>
  <si>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</si>
  <si>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</si>
  <si>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</si>
  <si>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</si>
  <si>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</si>
  <si>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</si>
  <si>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</si>
  <si>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</si>
  <si>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</si>
  <si>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</si>
  <si>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</si>
  <si>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</si>
  <si>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</si>
  <si>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</si>
  <si>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</si>
  <si>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</si>
  <si>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</si>
  <si>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</si>
  <si>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</si>
  <si>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</si>
  <si>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</si>
  <si>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</si>
  <si>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</si>
  <si>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</si>
  <si>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</si>
  <si>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</si>
  <si>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</si>
  <si>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</si>
  <si>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</si>
  <si>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</si>
  <si>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</si>
  <si>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</si>
  <si>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</si>
  <si>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</si>
  <si>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</si>
  <si>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</si>
  <si>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</si>
  <si>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</si>
  <si>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</si>
  <si>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</si>
  <si>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</si>
  <si>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</si>
  <si>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</si>
  <si>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</si>
  <si>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</si>
  <si>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</si>
  <si>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</si>
  <si>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</si>
  <si>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</si>
  <si>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</si>
  <si>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</si>
  <si>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</si>
  <si>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</si>
  <si>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</si>
  <si>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</si>
  <si>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</si>
  <si>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</si>
  <si>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</si>
  <si>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</si>
  <si>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</si>
  <si>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</si>
  <si>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</si>
  <si>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</si>
  <si>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</si>
  <si>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</si>
  <si>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</si>
  <si>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</si>
  <si>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</si>
  <si>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</si>
  <si>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</si>
  <si>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</si>
  <si>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</si>
  <si>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</si>
  <si>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</si>
  <si>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</si>
  <si>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</si>
  <si>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</si>
  <si>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</si>
  <si>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</si>
  <si>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</si>
  <si>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</si>
  <si>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</si>
  <si>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</si>
  <si>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</si>
  <si>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</si>
  <si>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</si>
  <si>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</si>
  <si>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</si>
  <si>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</si>
  <si>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</si>
  <si>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</si>
  <si>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</si>
  <si>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</si>
  <si>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</si>
  <si>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</si>
  <si>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</si>
  <si>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</si>
  <si>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</si>
  <si>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</si>
  <si>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</si>
  <si>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</si>
  <si>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</si>
  <si>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</si>
  <si>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</si>
  <si>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</si>
  <si>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</si>
  <si>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</si>
  <si>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</si>
  <si>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</si>
  <si>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</si>
  <si>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</si>
  <si>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</si>
  <si>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</si>
  <si>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</si>
  <si>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</si>
  <si>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</si>
  <si>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</si>
  <si>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</si>
  <si>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</si>
  <si>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</si>
  <si>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</si>
  <si>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</si>
  <si>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</si>
  <si>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</si>
  <si>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</si>
  <si>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</si>
  <si>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</si>
  <si>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</si>
  <si>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</si>
  <si>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</si>
  <si>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</si>
  <si>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</si>
  <si>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</si>
  <si>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</si>
  <si>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</si>
  <si>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</si>
  <si>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</si>
  <si>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</si>
  <si>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</si>
  <si>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</si>
  <si>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</si>
  <si>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</si>
  <si>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</si>
  <si>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</si>
  <si>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</si>
  <si>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</si>
  <si>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</si>
  <si>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</si>
  <si>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</si>
  <si>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</si>
  <si>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</si>
  <si>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</si>
  <si>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</si>
  <si>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</si>
  <si>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</si>
  <si>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</si>
  <si>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</si>
  <si>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</si>
  <si>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</si>
  <si>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</si>
  <si>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</si>
  <si>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</si>
  <si>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</si>
  <si>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</si>
  <si>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</si>
  <si>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</si>
  <si>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</si>
  <si>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</si>
  <si>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</si>
  <si>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</si>
  <si>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</si>
  <si>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</si>
  <si>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</si>
  <si>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</si>
  <si>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</si>
  <si>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</si>
  <si>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</si>
  <si>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</si>
  <si>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</si>
  <si>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</si>
  <si>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</si>
  <si>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</si>
  <si>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</si>
  <si>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</si>
  <si>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</si>
  <si>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</si>
  <si>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</si>
  <si>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</si>
  <si>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</si>
  <si>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</si>
  <si>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</si>
  <si>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</si>
  <si>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</si>
  <si>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</si>
  <si>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</si>
  <si>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</si>
  <si>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</si>
  <si>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</si>
  <si>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</si>
  <si>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</si>
  <si>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</si>
  <si>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</si>
  <si>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</si>
  <si>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</si>
  <si>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</si>
  <si>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</si>
  <si>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</si>
  <si>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</si>
  <si>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</si>
  <si>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</si>
  <si>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</si>
  <si>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</si>
  <si>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</si>
  <si>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</si>
  <si>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</si>
  <si>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</si>
  <si>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</si>
  <si>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</si>
  <si>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</si>
  <si>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</si>
  <si>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</si>
  <si>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</si>
  <si>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</si>
  <si>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</si>
  <si>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</si>
  <si>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</si>
  <si>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</si>
  <si>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</si>
  <si>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</si>
  <si>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</si>
  <si>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</si>
  <si>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</si>
  <si>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</si>
  <si>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</si>
  <si>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</si>
  <si>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</si>
  <si>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</si>
  <si>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</si>
  <si>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</si>
  <si>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</si>
  <si>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</si>
  <si>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</si>
  <si>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</si>
  <si>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</si>
  <si>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</si>
  <si>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</si>
  <si>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</si>
  <si>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</si>
  <si>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</si>
  <si>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</si>
  <si>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</si>
  <si>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</si>
  <si>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</si>
  <si>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</si>
  <si>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</si>
  <si>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</si>
  <si>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</si>
  <si>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</si>
  <si>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</si>
  <si>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</si>
  <si>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</si>
  <si>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</si>
  <si>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</si>
  <si>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</si>
  <si>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</si>
  <si>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</si>
  <si>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</si>
  <si>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</si>
  <si>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</si>
  <si>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</si>
  <si>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</si>
  <si>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</si>
  <si>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</si>
  <si>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</si>
  <si>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</si>
  <si>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</si>
  <si>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</si>
  <si>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</si>
  <si>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</si>
  <si>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</si>
  <si>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</si>
  <si>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</si>
  <si>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</si>
  <si>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</si>
  <si>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</si>
  <si>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</si>
  <si>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</si>
  <si>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</si>
  <si>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</si>
  <si>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</si>
  <si>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</si>
  <si>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</si>
  <si>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</si>
  <si>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</si>
  <si>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</si>
  <si>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</si>
  <si>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</si>
  <si>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</si>
  <si>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</si>
  <si>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</si>
  <si>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</si>
  <si>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</si>
  <si>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</si>
  <si>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</si>
  <si>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</si>
  <si>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</si>
  <si>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</si>
  <si>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</si>
  <si>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</si>
  <si>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</si>
  <si>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</si>
  <si>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</si>
  <si>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</si>
  <si>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</si>
  <si>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</si>
  <si>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</si>
  <si>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</si>
  <si>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</si>
  <si>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</si>
  <si>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</si>
  <si>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</si>
  <si>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</si>
  <si>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</si>
  <si>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</si>
  <si>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</si>
  <si>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</si>
  <si>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</si>
  <si>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</si>
  <si>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</si>
  <si>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</si>
  <si>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</si>
  <si>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</si>
  <si>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</si>
  <si>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</si>
  <si>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</si>
  <si>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</si>
  <si>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</si>
  <si>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</si>
  <si>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</si>
  <si>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</si>
  <si>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</si>
  <si>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</si>
  <si>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</si>
  <si>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</si>
  <si>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</si>
  <si>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</si>
  <si>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</si>
  <si>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</si>
  <si>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</si>
  <si>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</si>
  <si>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</si>
  <si>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</si>
  <si>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</si>
  <si>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</si>
  <si>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</si>
  <si>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</si>
  <si>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</si>
  <si>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</si>
  <si>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</si>
  <si>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</si>
  <si>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</si>
  <si>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</si>
  <si>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</si>
  <si>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</si>
  <si>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</si>
  <si>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</si>
  <si>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</si>
  <si>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</si>
  <si>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</si>
  <si>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</si>
  <si>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</si>
  <si>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</si>
  <si>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</si>
  <si>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</si>
  <si>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</si>
  <si>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</si>
  <si>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</si>
  <si>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</si>
  <si>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</si>
  <si>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</si>
  <si>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</si>
  <si>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</si>
  <si>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</si>
  <si>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</si>
  <si>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</si>
  <si>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</si>
  <si>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</si>
  <si>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</si>
  <si>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</si>
  <si>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</si>
  <si>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</si>
  <si>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</si>
  <si>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</si>
  <si>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</si>
  <si>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</si>
  <si>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</si>
  <si>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</si>
  <si>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</si>
  <si>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</si>
  <si>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</si>
  <si>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</si>
  <si>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</si>
  <si>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</si>
  <si>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</si>
  <si>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</si>
  <si>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</si>
  <si>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</si>
  <si>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</si>
  <si>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</si>
  <si>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</si>
  <si>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</si>
  <si>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</si>
  <si>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</si>
  <si>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</si>
  <si>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</si>
  <si>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</si>
  <si>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</si>
  <si>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</si>
  <si>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</si>
  <si>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</si>
  <si>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</si>
  <si>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</si>
  <si>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</si>
  <si>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</si>
  <si>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</si>
  <si>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</si>
  <si>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</si>
  <si>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</si>
  <si>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</si>
  <si>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</si>
  <si>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</si>
  <si>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</si>
  <si>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</si>
  <si>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</si>
  <si>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</si>
  <si>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</si>
  <si>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</si>
  <si>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</si>
  <si>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</si>
  <si>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</si>
  <si>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</si>
  <si>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</si>
  <si>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</si>
  <si>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</si>
  <si>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</si>
  <si>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</si>
  <si>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</si>
  <si>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</si>
  <si>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</si>
  <si>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</si>
  <si>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</si>
  <si>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</si>
  <si>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</si>
  <si>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</si>
  <si>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</si>
  <si>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</si>
  <si>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</si>
  <si>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</si>
  <si>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</si>
  <si>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</si>
  <si>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</si>
  <si>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</si>
  <si>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</si>
  <si>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</si>
  <si>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</si>
  <si>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</si>
  <si>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</si>
  <si>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</si>
  <si>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</si>
  <si>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</si>
  <si>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</si>
  <si>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</si>
  <si>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</si>
  <si>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</si>
  <si>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</si>
  <si>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</si>
  <si>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</si>
  <si>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</si>
  <si>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</si>
  <si>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</si>
  <si>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</si>
  <si>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</si>
  <si>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</si>
  <si>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</si>
  <si>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</si>
  <si>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</si>
  <si>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</si>
  <si>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</si>
  <si>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</si>
  <si>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</si>
  <si>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</si>
  <si>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</si>
  <si>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</si>
  <si>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</si>
  <si>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</si>
  <si>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</si>
  <si>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</si>
  <si>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</si>
  <si>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</si>
  <si>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</si>
  <si>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</si>
  <si>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</si>
  <si>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</si>
  <si>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</si>
  <si>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</si>
  <si>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</si>
  <si>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</si>
  <si>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</si>
  <si>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</si>
  <si>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</si>
  <si>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</si>
  <si>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</si>
  <si>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</si>
  <si>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</si>
  <si>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</si>
  <si>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</si>
  <si>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</si>
  <si>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</si>
  <si>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</si>
  <si>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</si>
  <si>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</si>
  <si>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</si>
  <si>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</si>
  <si>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</si>
  <si>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</si>
  <si>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</si>
  <si>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</si>
  <si>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</si>
  <si>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</si>
  <si>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</si>
  <si>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</si>
  <si>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</si>
  <si>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</si>
  <si>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</si>
  <si>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</si>
  <si>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</si>
  <si>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</si>
  <si>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</si>
  <si>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</si>
  <si>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</si>
  <si>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</si>
  <si>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</si>
  <si>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</si>
  <si>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</si>
  <si>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</si>
  <si>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</si>
  <si>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</si>
  <si>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</si>
  <si>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</si>
  <si>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</si>
  <si>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</si>
  <si>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</si>
  <si>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</si>
  <si>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</si>
  <si>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</si>
  <si>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</si>
  <si>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</si>
  <si>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</si>
  <si>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</si>
  <si>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</si>
  <si>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</si>
  <si>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</si>
  <si>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</si>
  <si>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</si>
  <si>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</si>
  <si>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</si>
  <si>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</si>
  <si>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</si>
  <si>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</si>
  <si>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</si>
  <si>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</si>
  <si>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</si>
  <si>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</si>
  <si>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</si>
  <si>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</si>
  <si>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</si>
  <si>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</si>
  <si>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</si>
  <si>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</si>
  <si>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</si>
  <si>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</si>
  <si>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</si>
  <si>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</si>
  <si>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</si>
  <si>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</si>
  <si>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</si>
  <si>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</si>
  <si>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</si>
  <si>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</si>
  <si>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</si>
  <si>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</si>
  <si>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</si>
  <si>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</si>
  <si>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</si>
  <si>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</si>
  <si>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</si>
  <si>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</si>
  <si>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</si>
  <si>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</si>
  <si>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</si>
  <si>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</si>
  <si>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</si>
  <si>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</si>
  <si>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</si>
  <si>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</si>
  <si>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</si>
  <si>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</si>
  <si>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</si>
  <si>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</si>
  <si>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</si>
  <si>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</si>
  <si>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</si>
  <si>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</si>
  <si>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</si>
  <si>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</si>
  <si>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</si>
  <si>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</si>
  <si>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</si>
  <si>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</si>
  <si>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</si>
  <si>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</si>
  <si>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</si>
  <si>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</si>
  <si>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</si>
  <si>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</si>
  <si>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</si>
  <si>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</si>
  <si>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</si>
  <si>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</si>
  <si>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</si>
  <si>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</si>
  <si>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</si>
  <si>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</si>
  <si>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</si>
  <si>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</si>
  <si>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</si>
  <si>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</si>
  <si>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</si>
  <si>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</si>
  <si>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</si>
  <si>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</si>
  <si>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</si>
  <si>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</si>
  <si>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</si>
  <si>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</si>
  <si>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</si>
  <si>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</si>
  <si>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</si>
  <si>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</si>
  <si>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</si>
  <si>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</si>
  <si>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</si>
  <si>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</si>
  <si>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</si>
  <si>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</si>
  <si>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</si>
  <si>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</si>
  <si>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</si>
  <si>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</si>
  <si>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</si>
  <si>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</si>
  <si>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</si>
  <si>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</si>
  <si>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</si>
  <si>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</si>
  <si>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</si>
  <si>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</si>
  <si>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</si>
  <si>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</si>
  <si>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</si>
  <si>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</si>
  <si>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</si>
  <si>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</si>
  <si>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</si>
  <si>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</si>
  <si>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</si>
  <si>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</si>
  <si>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</si>
  <si>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</si>
  <si>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</si>
  <si>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</si>
  <si>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</si>
  <si>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</si>
  <si>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</si>
  <si>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</si>
  <si>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</si>
  <si>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</si>
  <si>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</si>
  <si>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</si>
  <si>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</si>
  <si>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</si>
  <si>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</si>
  <si>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</si>
  <si>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</si>
  <si>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</si>
  <si>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</si>
  <si>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</si>
  <si>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</si>
  <si>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</si>
  <si>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</si>
  <si>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</si>
  <si>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</si>
  <si>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</si>
  <si>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</si>
  <si>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</si>
  <si>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</si>
  <si>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</si>
  <si>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</si>
  <si>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</si>
  <si>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</si>
  <si>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</si>
  <si>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</si>
  <si>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</si>
  <si>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</si>
  <si>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</si>
  <si>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</si>
  <si>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</si>
  <si>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</si>
  <si>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</si>
  <si>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</si>
  <si>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</si>
  <si>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</si>
  <si>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</si>
  <si>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</si>
  <si>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</si>
  <si>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</si>
  <si>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</si>
  <si>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</si>
  <si>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</si>
  <si>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</si>
  <si>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</si>
  <si>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</si>
  <si>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</si>
  <si>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</si>
  <si>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</si>
  <si>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</si>
  <si>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</si>
  <si>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</si>
  <si>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</si>
  <si>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</si>
  <si>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</si>
  <si>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</si>
  <si>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</si>
  <si>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</si>
  <si>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</si>
  <si>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</si>
  <si>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</si>
  <si>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</si>
  <si>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</si>
  <si>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</si>
  <si>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</si>
  <si>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</si>
  <si>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</si>
  <si>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</si>
  <si>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</si>
  <si>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</si>
  <si>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</si>
  <si>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</si>
  <si>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</si>
  <si>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</si>
  <si>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</si>
  <si>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</si>
  <si>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</si>
  <si>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</si>
  <si>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</si>
  <si>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</si>
  <si>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</si>
  <si>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</si>
  <si>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</si>
  <si>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</si>
  <si>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</si>
  <si>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</si>
  <si>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</si>
  <si>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</si>
  <si>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</si>
  <si>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</si>
  <si>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</si>
  <si>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</si>
  <si>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</si>
  <si>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</si>
  <si>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</si>
  <si>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</si>
  <si>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</si>
  <si>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</si>
  <si>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</si>
  <si>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</si>
  <si>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</si>
  <si>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</si>
  <si>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</si>
  <si>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</si>
  <si>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</si>
  <si>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</si>
  <si>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</si>
  <si>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</si>
  <si>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</si>
  <si>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</si>
  <si>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</si>
  <si>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</si>
  <si>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</si>
  <si>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</si>
  <si>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</si>
  <si>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</si>
  <si>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</si>
  <si>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</si>
  <si>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</si>
  <si>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</si>
  <si>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</si>
  <si>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</si>
  <si>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</si>
  <si>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</si>
  <si>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</si>
  <si>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</si>
  <si>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</si>
  <si>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</si>
  <si>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</si>
  <si>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</si>
  <si>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</si>
  <si>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</si>
  <si>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</si>
  <si>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</si>
  <si>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</si>
  <si>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</si>
  <si>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</si>
  <si>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</si>
  <si>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</si>
  <si>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</si>
  <si>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</si>
  <si>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</si>
  <si>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</si>
  <si>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</si>
  <si>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</si>
  <si>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</si>
  <si>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</si>
  <si>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</si>
  <si>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</si>
  <si>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</si>
  <si>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</si>
  <si>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</si>
  <si>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</si>
  <si>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</si>
  <si>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</si>
  <si>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</si>
  <si>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</si>
  <si>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</si>
  <si>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</si>
  <si>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</si>
  <si>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</si>
  <si>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</si>
  <si>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</si>
  <si>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</si>
  <si>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</si>
  <si>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</si>
  <si>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</si>
  <si>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</si>
  <si>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</si>
  <si>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</si>
  <si>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</si>
  <si>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</si>
  <si>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</si>
  <si>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</si>
  <si>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</si>
  <si>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</si>
  <si>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</si>
  <si>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</si>
  <si>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</si>
  <si>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</si>
  <si>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</si>
  <si>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</si>
  <si>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</si>
  <si>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</si>
  <si>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</si>
  <si>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</si>
  <si>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</si>
  <si>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</si>
  <si>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</si>
  <si>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</si>
  <si>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</si>
  <si>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</si>
  <si>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</si>
  <si>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</si>
  <si>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</si>
  <si>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</si>
  <si>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</si>
  <si>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</si>
  <si>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</si>
  <si>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</si>
  <si>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</si>
  <si>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</si>
  <si>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</si>
  <si>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</si>
  <si>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</si>
  <si>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</si>
  <si>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</si>
  <si>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</si>
  <si>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</si>
  <si>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</si>
  <si>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</si>
  <si>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</si>
  <si>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</si>
  <si>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</si>
  <si>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</si>
  <si>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</si>
  <si>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</si>
  <si>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</si>
  <si>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</si>
  <si>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</si>
  <si>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</si>
  <si>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</si>
  <si>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</si>
  <si>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</si>
  <si>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</si>
  <si>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</si>
  <si>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</si>
  <si>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</si>
  <si>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</si>
  <si>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</si>
  <si>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</si>
  <si>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</si>
  <si>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</si>
  <si>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</si>
  <si>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</si>
  <si>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</si>
  <si>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</si>
  <si>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</si>
  <si>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</si>
  <si>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</si>
  <si>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</si>
  <si>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</si>
  <si>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</si>
  <si>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</si>
  <si>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</si>
  <si>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</si>
  <si>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</si>
  <si>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</si>
  <si>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</si>
  <si>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</si>
  <si>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</si>
  <si>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</si>
  <si>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</si>
  <si>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</si>
  <si>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</si>
  <si>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</si>
  <si>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</si>
  <si>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</si>
  <si>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</si>
  <si>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</si>
  <si>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</si>
  <si>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</si>
  <si>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</si>
  <si>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</si>
  <si>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</si>
  <si>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</si>
  <si>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</si>
  <si>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</si>
  <si>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</si>
  <si>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</si>
  <si>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</si>
  <si>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</si>
  <si>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</si>
  <si>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</si>
  <si>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</si>
  <si>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</si>
  <si>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</si>
  <si>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</si>
  <si>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</si>
  <si>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</si>
  <si>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</si>
  <si>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</si>
  <si>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</si>
  <si>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</si>
  <si>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</si>
  <si>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</si>
  <si>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</si>
  <si>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</si>
  <si>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</si>
  <si>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</si>
  <si>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</si>
  <si>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</si>
  <si>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</si>
  <si>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</si>
  <si>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</si>
  <si>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</si>
  <si>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</si>
  <si>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</si>
  <si>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</si>
  <si>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</si>
  <si>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</si>
  <si>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</si>
  <si>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</si>
  <si>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</si>
  <si>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</si>
  <si>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</si>
  <si>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</si>
  <si>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</si>
  <si>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</si>
  <si>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</si>
  <si>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</si>
  <si>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</si>
  <si>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</si>
  <si>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</si>
  <si>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</si>
  <si>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</si>
  <si>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</si>
  <si>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</si>
  <si>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</si>
  <si>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</si>
  <si>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</si>
  <si>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</si>
  <si>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</si>
  <si>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</si>
  <si>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</si>
  <si>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</si>
  <si>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</si>
  <si>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</si>
  <si>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</si>
  <si>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</si>
  <si>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</si>
  <si>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</si>
  <si>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</si>
  <si>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</si>
  <si>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</si>
  <si>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</si>
  <si>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</si>
  <si>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</si>
  <si>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</si>
  <si>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</si>
  <si>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</si>
  <si>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</si>
  <si>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</si>
  <si>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</si>
  <si>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</si>
  <si>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</si>
  <si>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</si>
  <si>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</si>
  <si>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</si>
  <si>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</si>
  <si>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</si>
  <si>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</si>
  <si>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</si>
  <si>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</si>
  <si>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</si>
  <si>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</si>
  <si>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</si>
  <si>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</si>
  <si>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</si>
  <si>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</si>
  <si>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</si>
  <si>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</si>
  <si>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</si>
  <si>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</si>
  <si>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</si>
  <si>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</si>
  <si>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</si>
  <si>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</si>
  <si>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</si>
  <si>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</si>
  <si>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</si>
  <si>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</si>
  <si>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</si>
  <si>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</si>
  <si>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</si>
  <si>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</si>
  <si>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</si>
  <si>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</si>
  <si>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</si>
  <si>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</si>
  <si>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</si>
  <si>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</si>
  <si>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</si>
  <si>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</si>
  <si>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</si>
  <si>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</si>
  <si>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</si>
  <si>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</si>
  <si>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</si>
  <si>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</si>
  <si>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</si>
  <si>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</si>
  <si>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</si>
  <si>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</si>
  <si>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</si>
  <si>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</si>
  <si>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</si>
  <si>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</si>
  <si>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</si>
  <si>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</si>
  <si>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</si>
  <si>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</si>
  <si>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</si>
  <si>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</si>
  <si>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</si>
  <si>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</si>
  <si>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</si>
  <si>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</si>
  <si>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</si>
  <si>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</si>
  <si>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</si>
  <si>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</si>
  <si>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</si>
  <si>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</si>
  <si>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</si>
  <si>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</si>
  <si>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</si>
  <si>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</si>
  <si>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</si>
  <si>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</si>
  <si>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</si>
  <si>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</si>
  <si>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</si>
  <si>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</si>
  <si>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</si>
  <si>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</si>
  <si>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</si>
  <si>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</si>
  <si>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</si>
  <si>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</si>
  <si>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</si>
  <si>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</si>
  <si>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</si>
  <si>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</si>
  <si>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</si>
  <si>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</si>
  <si>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</si>
  <si>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</si>
  <si>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</si>
  <si>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</si>
  <si>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</si>
  <si>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</si>
  <si>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</si>
  <si>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</si>
  <si>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</si>
  <si>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</si>
  <si>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</si>
  <si>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</si>
  <si>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</si>
  <si>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</si>
  <si>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</si>
  <si>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</si>
  <si>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</si>
  <si>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</si>
  <si>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</si>
  <si>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</si>
  <si>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</si>
  <si>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</si>
  <si>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</si>
  <si>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</si>
  <si>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</si>
  <si>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</si>
  <si>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</si>
  <si>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</si>
  <si>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</si>
  <si>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</si>
  <si>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</si>
  <si>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</si>
  <si>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</si>
  <si>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</si>
  <si>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</si>
  <si>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</si>
  <si>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</si>
  <si>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</si>
  <si>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</si>
  <si>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</si>
  <si>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</si>
  <si>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</si>
  <si>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</si>
  <si>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</si>
  <si>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</si>
  <si>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</si>
  <si>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</si>
  <si>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</si>
  <si>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</si>
  <si>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</si>
  <si>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</si>
  <si>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</si>
  <si>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</si>
  <si>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</si>
  <si>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</si>
  <si>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</si>
  <si>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</si>
  <si>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</si>
  <si>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</si>
  <si>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</si>
  <si>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</si>
  <si>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</si>
  <si>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</si>
  <si>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</si>
  <si>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</si>
  <si>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</si>
  <si>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</si>
  <si>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</si>
  <si>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</si>
  <si>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</si>
  <si>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</si>
  <si>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</si>
  <si>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</si>
  <si>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</si>
  <si>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</si>
  <si>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</si>
  <si>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</si>
  <si>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</si>
  <si>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</si>
  <si>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</si>
  <si>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</si>
  <si>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</si>
  <si>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</si>
  <si>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</si>
  <si>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</si>
  <si>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</si>
  <si>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</si>
  <si>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</si>
  <si>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</si>
  <si>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</si>
  <si>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</si>
  <si>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</si>
  <si>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</si>
  <si>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</si>
  <si>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</si>
  <si>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</si>
  <si>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</si>
  <si>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</si>
  <si>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</si>
  <si>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</si>
  <si>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</si>
  <si>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</si>
  <si>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</si>
  <si>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</si>
  <si>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</si>
  <si>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</si>
  <si>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</si>
  <si>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</si>
  <si>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</si>
  <si>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</si>
  <si>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</si>
  <si>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</si>
  <si>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</si>
  <si>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</si>
  <si>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</si>
  <si>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</si>
  <si>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</si>
  <si>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</si>
  <si>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</si>
  <si>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</si>
  <si>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</si>
  <si>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</si>
  <si>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</si>
  <si>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</si>
  <si>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</si>
  <si>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</si>
  <si>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</si>
  <si>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</si>
  <si>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</si>
  <si>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</si>
  <si>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</si>
  <si>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</si>
  <si>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</si>
  <si>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</si>
  <si>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</si>
  <si>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</si>
  <si>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</si>
  <si>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</si>
  <si>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</si>
  <si>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</si>
  <si>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</si>
  <si>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</si>
  <si>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</si>
  <si>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</si>
  <si>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</si>
  <si>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</si>
  <si>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</si>
  <si>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</si>
  <si>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</si>
  <si>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</si>
  <si>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</si>
  <si>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</si>
  <si>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</si>
  <si>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</si>
  <si>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</si>
  <si>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</si>
  <si>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</si>
  <si>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</si>
  <si>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</si>
  <si>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</si>
  <si>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</si>
  <si>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</si>
  <si>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</si>
  <si>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</si>
  <si>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</si>
  <si>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</si>
  <si>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</si>
  <si>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</si>
  <si>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</si>
  <si>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</si>
  <si>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</si>
  <si>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</si>
  <si>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</si>
  <si>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</si>
  <si>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</si>
  <si>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</si>
  <si>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</si>
  <si>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</si>
  <si>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</si>
  <si>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</si>
  <si>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</si>
  <si>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</si>
  <si>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</si>
  <si>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</si>
  <si>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</si>
  <si>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</si>
  <si>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</si>
  <si>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</si>
  <si>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</si>
  <si>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</si>
  <si>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</si>
  <si>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</si>
  <si>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</si>
  <si>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</si>
  <si>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</si>
  <si>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</si>
  <si>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</si>
  <si>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</si>
  <si>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</si>
  <si>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</si>
  <si>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</si>
  <si>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</si>
  <si>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</si>
  <si>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</si>
  <si>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</si>
  <si>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</si>
  <si>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</si>
  <si>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</si>
  <si>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</si>
  <si>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</si>
  <si>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</si>
  <si>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</si>
  <si>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</si>
  <si>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</si>
  <si>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</si>
  <si>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</si>
  <si>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</si>
  <si>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</si>
  <si>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</si>
  <si>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</si>
  <si>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</si>
  <si>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</si>
  <si>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</si>
  <si>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</si>
  <si>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</si>
  <si>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</si>
  <si>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</si>
  <si>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</si>
  <si>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</si>
  <si>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</si>
  <si>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</si>
  <si>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</si>
  <si>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</si>
  <si>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</si>
  <si>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</si>
  <si>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</si>
  <si>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</si>
  <si>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</si>
  <si>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</si>
  <si>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</si>
  <si>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</si>
  <si>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</si>
  <si>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</si>
  <si>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</si>
  <si>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</si>
  <si>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</si>
  <si>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</si>
  <si>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</si>
  <si>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</si>
  <si>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</si>
  <si>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</si>
  <si>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</si>
  <si>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</si>
  <si>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</si>
  <si>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</si>
  <si>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</si>
  <si>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</si>
  <si>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</si>
  <si>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</si>
  <si>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</si>
  <si>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</si>
  <si>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</si>
  <si>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</si>
  <si>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</si>
  <si>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</si>
  <si>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</si>
  <si>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</si>
  <si>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</si>
  <si>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</si>
  <si>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</si>
  <si>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</si>
  <si>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</si>
  <si>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</si>
  <si>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</si>
  <si>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</si>
  <si>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</si>
  <si>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</si>
  <si>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</si>
  <si>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</si>
  <si>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</si>
  <si>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</si>
  <si>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</si>
  <si>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</si>
  <si>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</si>
  <si>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</si>
  <si>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</si>
  <si>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</si>
  <si>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</si>
  <si>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</si>
  <si>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</si>
  <si>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</si>
  <si>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</si>
  <si>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</si>
  <si>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</si>
  <si>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</si>
  <si>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</si>
  <si>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</si>
  <si>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</si>
  <si>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</si>
  <si>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</si>
  <si>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</si>
  <si>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</si>
  <si>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</si>
  <si>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</si>
  <si>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</si>
  <si>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</si>
  <si>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</si>
  <si>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</si>
  <si>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</si>
  <si>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</si>
  <si>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</si>
  <si>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</si>
  <si>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</si>
  <si>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</si>
  <si>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</si>
  <si>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</si>
  <si>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</si>
  <si>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</si>
  <si>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</si>
  <si>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Inc.</t>
  </si>
  <si>
    <t>00-825-5754</t>
  </si>
  <si>
    <t>DUNS</t>
  </si>
  <si>
    <t>1200 Columbia Ave., Riverside, CA 92507</t>
  </si>
  <si>
    <t>Jessica Martin</t>
  </si>
  <si>
    <t>productcompliance@bourns.com</t>
  </si>
  <si>
    <t>951-781-5670</t>
  </si>
  <si>
    <t>Marvella Sanchez</t>
  </si>
  <si>
    <t>Product Compliance Engineer, Sr.</t>
  </si>
  <si>
    <t>marvella.sanchez@bourns.com</t>
  </si>
  <si>
    <t>951-781-5307</t>
  </si>
  <si>
    <t>https://www.bourns.com/docs/rohs-content/responsible_metals_statement.pdf?sfvrsn=f2ab84f1_15</t>
  </si>
  <si>
    <t>BIDD05N60T</t>
  </si>
  <si>
    <t>BIDW20N60T</t>
  </si>
  <si>
    <t>BIDW30N60T</t>
  </si>
  <si>
    <t>BIDW50N65T</t>
  </si>
  <si>
    <t>BIDNW30N60H3</t>
  </si>
  <si>
    <t>BIDW40N65H5</t>
  </si>
  <si>
    <t>BIDW40N65ES5</t>
  </si>
  <si>
    <t>BIDW75N65EH5</t>
  </si>
  <si>
    <t>BIDW75N65ES5</t>
  </si>
  <si>
    <t>IGBT</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</si>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</sst>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
      <c r="A13" s="305"/>
      <c r="B13" s="2">
        <v>1</v>
      </c>
      <c r="C13" s="27" t="s">
        <v>1078</v>
      </c>
      <c r="D13" s="28" t="s">
        <v>866</v>
      </c>
      <c r="E13" s="163" t="s">
        <v>843</v>
      </c>
      <c r="F13" s="163"/>
      <c r="G13" s="25"/>
    </row>
    <row r="14" spans="1:7" ht="30">
      <c r="A14" s="305"/>
      <c r="B14" s="2">
        <v>2</v>
      </c>
      <c r="C14" s="27" t="s">
        <v>1078</v>
      </c>
      <c r="D14" s="28" t="s">
        <v>1015</v>
      </c>
      <c r="E14" s="163" t="s">
        <v>526</v>
      </c>
      <c r="F14" s="163" t="s">
        <v>527</v>
      </c>
      <c r="G14" s="25"/>
    </row>
    <row r="15" spans="1:7" ht="89.15"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150000000000006"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5"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99999999999999" customHeight="1">
      <c r="A28" s="305"/>
      <c r="B28" s="294"/>
      <c r="C28" s="312"/>
      <c r="D28" s="315"/>
      <c r="E28" s="303"/>
      <c r="F28" s="165" t="s">
        <v>57</v>
      </c>
      <c r="G28" s="25"/>
    </row>
    <row r="29" spans="1:7" ht="74.5" customHeight="1">
      <c r="A29" s="305"/>
      <c r="B29" s="294"/>
      <c r="C29" s="312"/>
      <c r="D29" s="315"/>
      <c r="E29" s="303"/>
      <c r="F29" s="165" t="s">
        <v>58</v>
      </c>
      <c r="G29" s="25"/>
    </row>
    <row r="30" spans="1:7" ht="62.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5" customHeight="1">
      <c r="A33" s="305"/>
      <c r="B33" s="294"/>
      <c r="C33" s="312"/>
      <c r="D33" s="315"/>
      <c r="E33" s="303"/>
      <c r="F33" s="165" t="s">
        <v>62</v>
      </c>
      <c r="G33" s="25"/>
    </row>
    <row r="34" spans="1:7" ht="89.15" customHeight="1">
      <c r="A34" s="305"/>
      <c r="B34" s="294"/>
      <c r="C34" s="312"/>
      <c r="D34" s="315"/>
      <c r="E34" s="303"/>
      <c r="F34" s="165" t="s">
        <v>64</v>
      </c>
      <c r="G34" s="25"/>
    </row>
    <row r="35" spans="1:7" ht="29.15" customHeight="1">
      <c r="A35" s="305"/>
      <c r="B35" s="294"/>
      <c r="C35" s="312"/>
      <c r="D35" s="315"/>
      <c r="E35" s="303"/>
      <c r="F35" s="165" t="s">
        <v>65</v>
      </c>
      <c r="G35" s="25"/>
    </row>
    <row r="36" spans="1:7" ht="121">
      <c r="A36" s="305"/>
      <c r="B36" s="295"/>
      <c r="C36" s="313"/>
      <c r="D36" s="316"/>
      <c r="E36" s="304"/>
      <c r="F36" s="166" t="s">
        <v>66</v>
      </c>
      <c r="G36" s="25"/>
    </row>
    <row r="37" spans="1:7" ht="100">
      <c r="A37" s="305"/>
      <c r="B37" s="141">
        <v>3.01</v>
      </c>
      <c r="C37" s="142" t="s">
        <v>67</v>
      </c>
      <c r="D37" s="28" t="s">
        <v>2234</v>
      </c>
      <c r="E37" s="167" t="s">
        <v>1316</v>
      </c>
      <c r="F37" s="168" t="s">
        <v>1420</v>
      </c>
      <c r="G37" s="25"/>
    </row>
    <row r="38" spans="1:7" ht="90">
      <c r="A38" s="305"/>
      <c r="B38" s="141">
        <v>3.02</v>
      </c>
      <c r="C38" s="142" t="s">
        <v>1349</v>
      </c>
      <c r="D38" s="28" t="s">
        <v>2235</v>
      </c>
      <c r="E38" s="167" t="s">
        <v>1364</v>
      </c>
      <c r="F38" s="168" t="s">
        <v>1421</v>
      </c>
      <c r="G38" s="25"/>
    </row>
    <row r="39" spans="1:7" ht="80">
      <c r="A39" s="305"/>
      <c r="B39" s="150">
        <v>4</v>
      </c>
      <c r="C39" s="149" t="s">
        <v>1517</v>
      </c>
      <c r="D39" s="28" t="s">
        <v>2236</v>
      </c>
      <c r="E39" s="27" t="s">
        <v>2182</v>
      </c>
      <c r="F39" s="27" t="s">
        <v>1518</v>
      </c>
      <c r="G39" s="25"/>
    </row>
    <row r="40" spans="1:7" ht="50">
      <c r="A40" s="305"/>
      <c r="B40" s="141">
        <v>4.01</v>
      </c>
      <c r="C40" s="149" t="s">
        <v>1517</v>
      </c>
      <c r="D40" s="28" t="s">
        <v>2238</v>
      </c>
      <c r="E40" s="27" t="s">
        <v>2194</v>
      </c>
      <c r="F40" s="27" t="s">
        <v>2198</v>
      </c>
      <c r="G40" s="25"/>
    </row>
    <row r="41" spans="1:7" ht="50">
      <c r="A41" s="305"/>
      <c r="B41" s="141" t="s">
        <v>2225</v>
      </c>
      <c r="C41" s="149" t="s">
        <v>1517</v>
      </c>
      <c r="D41" s="28" t="s">
        <v>2237</v>
      </c>
      <c r="E41" s="27" t="s">
        <v>2228</v>
      </c>
      <c r="F41" s="27" t="s">
        <v>2226</v>
      </c>
      <c r="G41" s="25"/>
    </row>
    <row r="42" spans="1:7" ht="50">
      <c r="A42" s="305"/>
      <c r="B42" s="141" t="s">
        <v>2259</v>
      </c>
      <c r="C42" s="149" t="s">
        <v>1517</v>
      </c>
      <c r="D42" s="28" t="s">
        <v>2264</v>
      </c>
      <c r="E42" s="27" t="s">
        <v>2227</v>
      </c>
      <c r="F42" s="27" t="s">
        <v>2260</v>
      </c>
      <c r="G42" s="25"/>
    </row>
    <row r="43" spans="1:7" ht="110">
      <c r="A43" s="305"/>
      <c r="B43" s="160">
        <v>4.0999999999999996</v>
      </c>
      <c r="C43" s="149" t="s">
        <v>2263</v>
      </c>
      <c r="D43" s="161">
        <v>42867</v>
      </c>
      <c r="E43" s="169" t="s">
        <v>2266</v>
      </c>
      <c r="F43" s="27" t="s">
        <v>2265</v>
      </c>
      <c r="G43" s="25"/>
    </row>
    <row r="44" spans="1:7" ht="70">
      <c r="A44" s="305"/>
      <c r="B44" s="160">
        <v>4.2</v>
      </c>
      <c r="C44" s="149" t="s">
        <v>2263</v>
      </c>
      <c r="D44" s="161">
        <v>42704</v>
      </c>
      <c r="E44" s="169" t="s">
        <v>2462</v>
      </c>
      <c r="F44" s="27" t="s">
        <v>2437</v>
      </c>
      <c r="G44" s="25"/>
    </row>
    <row r="45" spans="1:7" ht="130">
      <c r="A45" s="305"/>
      <c r="B45" s="202">
        <v>5</v>
      </c>
      <c r="C45" s="149" t="s">
        <v>2263</v>
      </c>
      <c r="D45" s="161">
        <v>42867</v>
      </c>
      <c r="E45" s="169" t="s">
        <v>12683</v>
      </c>
      <c r="F45" s="27" t="s">
        <v>12405</v>
      </c>
      <c r="G45" s="25"/>
    </row>
    <row r="46" spans="1:7" ht="30">
      <c r="A46" s="305"/>
      <c r="B46" s="160">
        <v>5.01</v>
      </c>
      <c r="C46" s="149" t="s">
        <v>2263</v>
      </c>
      <c r="D46" s="161">
        <v>42907</v>
      </c>
      <c r="E46" s="169" t="s">
        <v>15484</v>
      </c>
      <c r="F46" s="27" t="s">
        <v>12405</v>
      </c>
      <c r="G46" s="25"/>
    </row>
    <row r="47" spans="1:7" ht="60">
      <c r="A47" s="305"/>
      <c r="B47" s="160">
        <v>5.0999999999999996</v>
      </c>
      <c r="C47" s="149" t="s">
        <v>2263</v>
      </c>
      <c r="D47" s="161">
        <v>43070</v>
      </c>
      <c r="E47" s="169" t="s">
        <v>12893</v>
      </c>
      <c r="F47" s="27" t="s">
        <v>12894</v>
      </c>
      <c r="G47" s="25"/>
    </row>
    <row r="48" spans="1:7" ht="50">
      <c r="A48" s="305"/>
      <c r="B48" s="160">
        <v>5.1100000000000003</v>
      </c>
      <c r="C48" s="149" t="s">
        <v>13129</v>
      </c>
      <c r="D48" s="161">
        <v>43217</v>
      </c>
      <c r="E48" s="169" t="s">
        <v>13255</v>
      </c>
      <c r="F48" s="27" t="s">
        <v>13163</v>
      </c>
      <c r="G48" s="25"/>
    </row>
    <row r="49" spans="1:7" ht="50">
      <c r="A49" s="305"/>
      <c r="B49" s="160">
        <v>5.12</v>
      </c>
      <c r="C49" s="149" t="s">
        <v>13129</v>
      </c>
      <c r="D49" s="161">
        <v>43581</v>
      </c>
      <c r="E49" s="169" t="s">
        <v>13255</v>
      </c>
      <c r="F49" s="27" t="s">
        <v>13807</v>
      </c>
      <c r="G49" s="25"/>
    </row>
    <row r="50" spans="1:7" ht="70">
      <c r="A50" s="305"/>
      <c r="B50" s="202">
        <v>6</v>
      </c>
      <c r="C50" s="149" t="s">
        <v>13129</v>
      </c>
      <c r="D50" s="161">
        <v>43964</v>
      </c>
      <c r="E50" s="169" t="s">
        <v>14020</v>
      </c>
      <c r="F50" s="27" t="s">
        <v>13810</v>
      </c>
      <c r="G50" s="25"/>
    </row>
    <row r="51" spans="1:7" ht="40">
      <c r="A51" s="305"/>
      <c r="B51" s="160">
        <v>6.01</v>
      </c>
      <c r="C51" s="149" t="s">
        <v>13129</v>
      </c>
      <c r="D51" s="161">
        <v>43970</v>
      </c>
      <c r="E51" s="169" t="s">
        <v>15485</v>
      </c>
      <c r="F51" s="169" t="s">
        <v>13810</v>
      </c>
      <c r="G51" s="25"/>
    </row>
    <row r="52" spans="1:7" ht="40">
      <c r="A52" s="305"/>
      <c r="B52" s="160">
        <v>6.1</v>
      </c>
      <c r="C52" s="149" t="s">
        <v>13129</v>
      </c>
      <c r="D52" s="161">
        <v>44314</v>
      </c>
      <c r="E52" s="169" t="s">
        <v>15477</v>
      </c>
      <c r="F52" s="169" t="s">
        <v>15015</v>
      </c>
      <c r="G52" s="25"/>
    </row>
    <row r="53" spans="1:7" ht="40">
      <c r="A53" s="305"/>
      <c r="B53" s="160">
        <v>6.2</v>
      </c>
      <c r="C53" s="149" t="s">
        <v>13129</v>
      </c>
      <c r="D53" s="161">
        <v>44678</v>
      </c>
      <c r="E53" s="169" t="s">
        <v>15477</v>
      </c>
      <c r="F53" s="169" t="s">
        <v>15476</v>
      </c>
      <c r="G53" s="25"/>
    </row>
    <row r="54" spans="1:7" ht="40">
      <c r="A54" s="305"/>
      <c r="B54" s="160">
        <v>6.21</v>
      </c>
      <c r="C54" s="149" t="s">
        <v>13129</v>
      </c>
      <c r="D54" s="161">
        <v>44687</v>
      </c>
      <c r="E54" s="169" t="s">
        <v>15486</v>
      </c>
      <c r="F54" s="169" t="s">
        <v>15476</v>
      </c>
      <c r="G54" s="25"/>
    </row>
    <row r="55" spans="1:7" ht="40">
      <c r="A55" s="305"/>
      <c r="B55" s="160">
        <v>6.22</v>
      </c>
      <c r="C55" s="149" t="s">
        <v>13129</v>
      </c>
      <c r="D55" s="275">
        <v>44692</v>
      </c>
      <c r="E55" s="169" t="s">
        <v>15485</v>
      </c>
      <c r="F55" s="169" t="s">
        <v>15476</v>
      </c>
      <c r="G55" s="25"/>
    </row>
    <row r="56" spans="1:7" ht="50">
      <c r="A56" s="305"/>
      <c r="B56" s="202">
        <v>6.3</v>
      </c>
      <c r="C56" s="149" t="s">
        <v>13129</v>
      </c>
      <c r="D56" s="275">
        <v>45051</v>
      </c>
      <c r="E56" s="169" t="s">
        <v>15753</v>
      </c>
      <c r="F56" s="169" t="s">
        <v>15534</v>
      </c>
      <c r="G56" s="25"/>
    </row>
    <row r="57" spans="1:7" ht="40">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4" thickBot="1">
      <c r="A59" s="306"/>
      <c r="B59" s="307" t="str">
        <f ca="1">OFFSET(L!$C$1,MATCH("General"&amp;"Cpy",L!$A:$A,0)-1,SL,,)</f>
        <v>© 2024 Responsible Minerals Initiative. All rights reserved.</v>
      </c>
      <c r="C59" s="307"/>
      <c r="D59" s="307"/>
      <c r="E59" s="307"/>
      <c r="F59" s="307"/>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76D5B40-D79E-4B31-8D61-2193817FEC6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4E5765E-6645-4D24-A6C4-9EA3E82FDA8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69" sqref="D69:E6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45475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15877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DB51EF8-A037-4C3F-8157-DBB42BC3FF87}"/>
    <hyperlink ref="D20" r:id="rId4" xr:uid="{F55EF593-3DC7-4F79-BA91-95E28D642145}"/>
    <hyperlink ref="G77" r:id="rId5" xr:uid="{E6FD5400-F0E6-43C8-8FFF-95E98D21D92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1801</v>
      </c>
      <c r="B5" s="182" t="str">
        <f ca="1">IF(LEN(A5)=0,"",INDEX('Smelter Look-up'!$A:$A,MATCH($A5,'Smelter Look-up'!$E:$E,0)))</f>
        <v>Tin</v>
      </c>
      <c r="C5" s="186" t="str">
        <f ca="1">IF(LEN(A5)=0,"",INDEX('Smelter Look-up'!$C:$C,MATCH($A5,'Smelter Look-up'!$E:$E,0)))</f>
        <v>Aurubis Beerse</v>
      </c>
      <c r="D5" s="230"/>
      <c r="E5" s="182" t="str">
        <f ca="1">IF(ISERROR($V5),"",OFFSET('Smelter Look-up'!$D$4,$V5-4,0)&amp;"")</f>
        <v>BELGIUM</v>
      </c>
      <c r="F5" s="182" t="str">
        <f ca="1">IF(ISERROR($V5),"",OFFSET('Smelter Look-up'!$E$4,$V5-4,0))</f>
        <v>CID002773</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405</v>
      </c>
      <c r="X5" s="227">
        <f t="shared" ref="X5" ca="1" si="0">IF(AND(C5="Smelter not listed",OR(LEN(D5)=0,LEN(E5)=0)),1,0)</f>
        <v>0</v>
      </c>
      <c r="AB5" s="228" t="str">
        <f t="shared" ref="AB5" ca="1" si="1">B5&amp;C5</f>
        <v>TinAurubis Beerse</v>
      </c>
    </row>
    <row r="6" spans="1:34" s="227" customFormat="1" ht="20" customHeight="1">
      <c r="A6" s="262" t="s">
        <v>782</v>
      </c>
      <c r="B6" s="182" t="str">
        <f ca="1">IF(LEN(A6)=0,"",INDEX('Smelter Look-up'!$A:$A,MATCH($A6,'Smelter Look-up'!$E:$E,0)))</f>
        <v>Tin</v>
      </c>
      <c r="C6" s="186" t="str">
        <f ca="1">IF(LEN(A6)=0,"",INDEX('Smelter Look-up'!$C:$C,MATCH($A6,'Smelter Look-up'!$E:$E,0)))</f>
        <v>Tin Smelting Branch of Yunnan Tin Co., Ltd.</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 ca="1">IF(C6="",NA(),IF(OR(C6="Smelter not listed",C6="Smelter not yet identified"),MATCH($B6&amp;$D6,'Smelter Look-up'!$J:$J,0),MATCH($B6&amp;$C6,'Smelter Look-up'!$J:$J,0)))</f>
        <v>550</v>
      </c>
      <c r="X6" s="227">
        <f t="shared" ref="X6:X37" ca="1" si="3">IF(AND(C6="Smelter not listed",OR(LEN(D6)=0,LEN(E6)=0)),1,0)</f>
        <v>0</v>
      </c>
      <c r="AB6" s="228" t="str">
        <f t="shared" ref="AB6:AB37" ca="1" si="4">B6&amp;C6</f>
        <v>TinTin Smelting Branch of Yunnan Tin Co., Ltd.</v>
      </c>
    </row>
    <row r="7" spans="1:34" s="227" customFormat="1" ht="20" customHeight="1">
      <c r="A7" s="262" t="s">
        <v>781</v>
      </c>
      <c r="B7" s="182" t="str">
        <f ca="1">IF(LEN(A7)=0,"",INDEX('Smelter Look-up'!$A:$A,MATCH($A7,'Smelter Look-up'!$E:$E,0)))</f>
        <v>Tin</v>
      </c>
      <c r="C7" s="186" t="str">
        <f ca="1">IF(LEN(A7)=0,"",INDEX('Smelter Look-up'!$C:$C,MATCH($A7,'Smelter Look-up'!$E:$E,0)))</f>
        <v>Yunnan Chengfeng Non-ferrous Metals Co., Ltd.</v>
      </c>
      <c r="D7" s="230"/>
      <c r="E7" s="182" t="str">
        <f ca="1">IF(ISERROR($V7),"",OFFSET('Smelter Look-up'!$D$4,$V7-4,0)&amp;"")</f>
        <v>CHINA</v>
      </c>
      <c r="F7" s="182" t="str">
        <f ca="1">IF(ISERROR($V7),"",OFFSET('Smelter Look-up'!$E$4,$V7-4,0))</f>
        <v>CID002158</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Yunnan Chengfeng Non-ferrous Metals Co., Ltd.</v>
      </c>
      <c r="S7" s="181" t="str">
        <f t="shared" ca="1" si="2"/>
        <v>CN</v>
      </c>
      <c r="T7" s="181" t="str">
        <f ca="1">IF(B7="","",IF(ISERROR(MATCH($J7,SorP!$B$1:$B$6226,0)),"",INDIRECT("'SorP'!$A$"&amp;MATCH($S7&amp;$J7,SorP!C:C,0))))</f>
        <v>CN-YN</v>
      </c>
      <c r="U7" s="201"/>
      <c r="V7" s="226">
        <f ca="1">IF(C7="",NA(),IF(OR(C7="Smelter not listed",C7="Smelter not yet identified"),MATCH($B7&amp;$D7,'Smelter Look-up'!$J:$J,0),MATCH($B7&amp;$C7,'Smelter Look-up'!$J:$J,0)))</f>
        <v>565</v>
      </c>
      <c r="X7" s="227">
        <f t="shared" ca="1" si="3"/>
        <v>0</v>
      </c>
      <c r="AB7" s="228" t="str">
        <f t="shared" ca="1" si="4"/>
        <v>TinYunnan Chengfeng Non-ferrous Metals Co., Ltd.</v>
      </c>
    </row>
    <row r="8" spans="1:34" s="227" customFormat="1" ht="20" customHeight="1">
      <c r="A8" s="262" t="s">
        <v>782</v>
      </c>
      <c r="B8" s="182" t="str">
        <f ca="1">IF(LEN(A8)=0,"",INDEX('Smelter Look-up'!$A:$A,MATCH($A8,'Smelter Look-up'!$E:$E,0)))</f>
        <v>Tin</v>
      </c>
      <c r="C8" s="186" t="str">
        <f ca="1">IF(LEN(A8)=0,"",INDEX('Smelter Look-up'!$C:$C,MATCH($A8,'Smelter Look-up'!$E:$E,0)))</f>
        <v>Tin Smelting Branch of Yunnan Tin Co., Ltd.</v>
      </c>
      <c r="D8" s="230"/>
      <c r="E8" s="182" t="str">
        <f ca="1">IF(ISERROR($V8),"",OFFSET('Smelter Look-up'!$D$4,$V8-4,0)&amp;"")</f>
        <v>CHINA</v>
      </c>
      <c r="F8" s="182" t="str">
        <f ca="1">IF(ISERROR($V8),"",OFFSET('Smelter Look-up'!$E$4,$V8-4,0))</f>
        <v>CID002180</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c r="R8" s="182" t="str">
        <f ca="1">IF(ISERROR($V8),"",OFFSET('Smelter Look-up'!$C$4,$V8-4,0)&amp;"")</f>
        <v>Tin Smelting Branch of Yunnan Tin Co., Ltd.</v>
      </c>
      <c r="S8" s="181" t="str">
        <f t="shared" ca="1" si="2"/>
        <v>CN</v>
      </c>
      <c r="T8" s="181" t="str">
        <f ca="1">IF(B8="","",IF(ISERROR(MATCH($J8,SorP!$B$1:$B$6226,0)),"",INDIRECT("'SorP'!$A$"&amp;MATCH($S8&amp;$J8,SorP!C:C,0))))</f>
        <v>CN-YN</v>
      </c>
      <c r="U8" s="201"/>
      <c r="V8" s="226">
        <f ca="1">IF(C8="",NA(),IF(OR(C8="Smelter not listed",C8="Smelter not yet identified"),MATCH($B8&amp;$D8,'Smelter Look-up'!$J:$J,0),MATCH($B8&amp;$C8,'Smelter Look-up'!$J:$J,0)))</f>
        <v>550</v>
      </c>
      <c r="X8" s="227">
        <f t="shared" ca="1" si="3"/>
        <v>0</v>
      </c>
      <c r="AB8" s="228" t="str">
        <f t="shared" ca="1" si="4"/>
        <v>TinTin Smelting Branch of Yunnan Tin Co., Ltd.</v>
      </c>
    </row>
    <row r="9" spans="1:34" s="227" customFormat="1" ht="20" customHeight="1">
      <c r="A9" s="262" t="s">
        <v>2261</v>
      </c>
      <c r="B9" s="182" t="str">
        <f ca="1">IF(LEN(A9)=0,"",INDEX('Smelter Look-up'!$A:$A,MATCH($A9,'Smelter Look-up'!$E:$E,0)))</f>
        <v>Tin</v>
      </c>
      <c r="C9" s="186" t="str">
        <f ca="1">IF(LEN(A9)=0,"",INDEX('Smelter Look-up'!$C:$C,MATCH($A9,'Smelter Look-up'!$E:$E,0)))</f>
        <v>Chenzhou Yunxiang Mining and Metallurgy Co., Ltd.</v>
      </c>
      <c r="D9" s="230"/>
      <c r="E9" s="182" t="str">
        <f ca="1">IF(ISERROR($V9),"",OFFSET('Smelter Look-up'!$D$4,$V9-4,0)&amp;"")</f>
        <v>CHINA</v>
      </c>
      <c r="F9" s="182" t="str">
        <f ca="1">IF(ISERROR($V9),"",OFFSET('Smelter Look-up'!$E$4,$V9-4,0))</f>
        <v>CID000228</v>
      </c>
      <c r="G9" s="182" t="str">
        <f ca="1">IF(C9=$X$4,IF(ISERROR($V9),"Enter smelter details","RMI"),IF(ISERROR($V9),"",OFFSET('Smelter Look-up'!$F$4,$V9-4,0)))</f>
        <v>RMI</v>
      </c>
      <c r="H9" s="183">
        <f ca="1">IF(ISERROR($V9),"",OFFSET('Smelter Look-up'!$G$4,$V9-4,0))</f>
        <v>0</v>
      </c>
      <c r="I9" s="184" t="str">
        <f ca="1">IF(ISERROR($V9),"",OFFSET('Smelter Look-up'!$H$4,$V9-4,0))</f>
        <v>Chenzhou</v>
      </c>
      <c r="J9" s="184" t="str">
        <f ca="1">IF(ISERROR($V9),"",OFFSET('Smelter Look-up'!$I$4,$V9-4,0))</f>
        <v>Hunan Sheng</v>
      </c>
      <c r="K9" s="224"/>
      <c r="L9" s="224"/>
      <c r="M9" s="224"/>
      <c r="N9" s="224"/>
      <c r="O9" s="224"/>
      <c r="P9" s="185"/>
      <c r="Q9" s="225"/>
      <c r="R9" s="182" t="str">
        <f ca="1">IF(ISERROR($V9),"",OFFSET('Smelter Look-up'!$C$4,$V9-4,0)&amp;"")</f>
        <v>Chenzhou Yunxiang Mining and Metallurgy Co., Ltd.</v>
      </c>
      <c r="S9" s="181" t="str">
        <f t="shared" ca="1" si="2"/>
        <v>CN</v>
      </c>
      <c r="T9" s="181" t="str">
        <f ca="1">IF(B9="","",IF(ISERROR(MATCH($J9,SorP!$B$1:$B$6226,0)),"",INDIRECT("'SorP'!$A$"&amp;MATCH($S9&amp;$J9,SorP!C:C,0))))</f>
        <v>CN-HN</v>
      </c>
      <c r="U9" s="201"/>
      <c r="V9" s="226">
        <f ca="1">IF(C9="",NA(),IF(OR(C9="Smelter not listed",C9="Smelter not yet identified"),MATCH($B9&amp;$D9,'Smelter Look-up'!$J:$J,0),MATCH($B9&amp;$C9,'Smelter Look-up'!$J:$J,0)))</f>
        <v>411</v>
      </c>
      <c r="X9" s="227">
        <f t="shared" ca="1" si="3"/>
        <v>0</v>
      </c>
      <c r="AB9" s="228" t="str">
        <f t="shared" ca="1" si="4"/>
        <v>TinChenzhou Yunxiang Mining and Metallurgy Co., Ltd.</v>
      </c>
    </row>
    <row r="10" spans="1:34" s="227" customFormat="1" ht="20" customHeight="1">
      <c r="A10" s="262" t="s">
        <v>761</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442</v>
      </c>
      <c r="X10" s="227">
        <f t="shared" ca="1" si="3"/>
        <v>0</v>
      </c>
      <c r="AB10" s="228" t="str">
        <f t="shared" ca="1" si="4"/>
        <v>TinFenix Metals</v>
      </c>
    </row>
    <row r="11" spans="1:34" s="227" customFormat="1" ht="20" customHeight="1">
      <c r="A11" s="262" t="s">
        <v>768</v>
      </c>
      <c r="B11" s="182" t="str">
        <f ca="1">IF(LEN(A11)=0,"",INDEX('Smelter Look-up'!$A:$A,MATCH($A11,'Smelter Look-up'!$E:$E,0)))</f>
        <v>Tin</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487</v>
      </c>
      <c r="X11" s="227">
        <f t="shared" ca="1" si="3"/>
        <v>0</v>
      </c>
      <c r="AB11" s="228" t="str">
        <f t="shared" ca="1" si="4"/>
        <v>TinMinsur</v>
      </c>
    </row>
    <row r="12" spans="1:34" s="227" customFormat="1" ht="20" customHeight="1">
      <c r="A12" s="262" t="s">
        <v>772</v>
      </c>
      <c r="B12" s="182" t="str">
        <f ca="1">IF(LEN(A12)=0,"",INDEX('Smelter Look-up'!$A:$A,MATCH($A12,'Smelter Look-up'!$E:$E,0)))</f>
        <v>Tin</v>
      </c>
      <c r="C12" s="186" t="str">
        <f ca="1">IF(LEN(A12)=0,"",INDEX('Smelter Look-up'!$C:$C,MATCH($A12,'Smelter Look-up'!$E:$E,0)))</f>
        <v>Operaciones Metalurgicas S.A.</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Operaciones Metalurgicas S.A.</v>
      </c>
      <c r="S12" s="181" t="str">
        <f t="shared" ca="1" si="2"/>
        <v>BO</v>
      </c>
      <c r="T12" s="181" t="str">
        <f ca="1">IF(B12="","",IF(ISERROR(MATCH($J12,SorP!$B$1:$B$6226,0)),"",INDIRECT("'SorP'!$A$"&amp;MATCH($S12&amp;$J12,SorP!C:C,0))))</f>
        <v>BO-O</v>
      </c>
      <c r="U12" s="201"/>
      <c r="V12" s="226">
        <f ca="1">IF(C12="",NA(),IF(OR(C12="Smelter not listed",C12="Smelter not yet identified"),MATCH($B12&amp;$D12,'Smelter Look-up'!$J:$J,0),MATCH($B12&amp;$C12,'Smelter Look-up'!$J:$J,0)))</f>
        <v>499</v>
      </c>
      <c r="X12" s="227">
        <f t="shared" ca="1" si="3"/>
        <v>0</v>
      </c>
      <c r="AB12" s="228" t="str">
        <f t="shared" ca="1" si="4"/>
        <v>TinOperaciones Metalurgicas S.A.</v>
      </c>
    </row>
    <row r="13" spans="1:34" s="227" customFormat="1" ht="20" customHeight="1">
      <c r="A13" s="262" t="s">
        <v>775</v>
      </c>
      <c r="B13" s="182" t="str">
        <f ca="1">IF(LEN(A13)=0,"",INDEX('Smelter Look-up'!$A:$A,MATCH($A13,'Smelter Look-up'!$E:$E,0)))</f>
        <v>Tin</v>
      </c>
      <c r="C13" s="186" t="str">
        <f ca="1">IF(LEN(A13)=0,"",INDEX('Smelter Look-up'!$C:$C,MATCH($A13,'Smelter Look-up'!$E:$E,0)))</f>
        <v>PT Refined Bangka Tin</v>
      </c>
      <c r="D13" s="230"/>
      <c r="E13" s="182" t="str">
        <f ca="1">IF(ISERROR($V13),"",OFFSET('Smelter Look-up'!$D$4,$V13-4,0)&amp;"")</f>
        <v>INDONESIA</v>
      </c>
      <c r="F13" s="182" t="str">
        <f ca="1">IF(ISERROR($V13),"",OFFSET('Smelter Look-up'!$E$4,$V13-4,0))</f>
        <v>CID001460</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Refined Bangka Tin</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526</v>
      </c>
      <c r="X13" s="227">
        <f t="shared" ca="1" si="3"/>
        <v>0</v>
      </c>
      <c r="AB13" s="228" t="str">
        <f t="shared" ca="1" si="4"/>
        <v>TinPT Refined Bangka Tin</v>
      </c>
    </row>
    <row r="14" spans="1:34" s="227" customFormat="1" ht="20" customHeight="1">
      <c r="A14" s="262" t="s">
        <v>794</v>
      </c>
      <c r="B14" s="182" t="str">
        <f ca="1">IF(LEN(A14)=0,"",INDEX('Smelter Look-up'!$A:$A,MATCH($A14,'Smelter Look-up'!$E:$E,0)))</f>
        <v>Tin</v>
      </c>
      <c r="C14" s="186" t="str">
        <f ca="1">IF(LEN(A14)=0,"",INDEX('Smelter Look-up'!$C:$C,MATCH($A14,'Smelter Look-up'!$E:$E,0)))</f>
        <v>PT Timah Tbk Kundur</v>
      </c>
      <c r="D14" s="230"/>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4"/>
      <c r="L14" s="224"/>
      <c r="M14" s="224"/>
      <c r="N14" s="224"/>
      <c r="O14" s="224"/>
      <c r="P14" s="185"/>
      <c r="Q14" s="225"/>
      <c r="R14" s="182" t="str">
        <f ca="1">IF(ISERROR($V14),"",OFFSET('Smelter Look-up'!$C$4,$V14-4,0)&amp;"")</f>
        <v>PT Timah Tbk Kundur</v>
      </c>
      <c r="S14" s="181" t="str">
        <f t="shared" ca="1" si="2"/>
        <v>ID</v>
      </c>
      <c r="T14" s="181" t="str">
        <f ca="1">IF(B14="","",IF(ISERROR(MATCH($J14,SorP!$B$1:$B$6226,0)),"",INDIRECT("'SorP'!$A$"&amp;MATCH($S14&amp;$J14,SorP!C:C,0))))</f>
        <v>ID-RI</v>
      </c>
      <c r="U14" s="201"/>
      <c r="V14" s="226">
        <f ca="1">IF(C14="",NA(),IF(OR(C14="Smelter not listed",C14="Smelter not yet identified"),MATCH($B14&amp;$D14,'Smelter Look-up'!$J:$J,0),MATCH($B14&amp;$C14,'Smelter Look-up'!$J:$J,0)))</f>
        <v>532</v>
      </c>
      <c r="X14" s="227">
        <f t="shared" ca="1" si="3"/>
        <v>0</v>
      </c>
      <c r="AB14" s="228" t="str">
        <f t="shared" ca="1" si="4"/>
        <v>TinPT Timah Tbk Kundur</v>
      </c>
    </row>
    <row r="15" spans="1:34" s="227" customFormat="1" ht="20" customHeight="1">
      <c r="A15" s="262" t="s">
        <v>776</v>
      </c>
      <c r="B15" s="182" t="str">
        <f ca="1">IF(LEN(A15)=0,"",INDEX('Smelter Look-up'!$A:$A,MATCH($A15,'Smelter Look-up'!$E:$E,0)))</f>
        <v>Tin</v>
      </c>
      <c r="C15" s="186" t="str">
        <f ca="1">IF(LEN(A15)=0,"",INDEX('Smelter Look-up'!$C:$C,MATCH($A15,'Smelter Look-up'!$E:$E,0)))</f>
        <v>PT Timah Tbk Mentok</v>
      </c>
      <c r="D15" s="230"/>
      <c r="E15" s="182" t="str">
        <f ca="1">IF(ISERROR($V15),"",OFFSET('Smelter Look-up'!$D$4,$V15-4,0)&amp;"")</f>
        <v>INDONESIA</v>
      </c>
      <c r="F15" s="182" t="str">
        <f ca="1">IF(ISERROR($V15),"",OFFSET('Smelter Look-up'!$E$4,$V15-4,0))</f>
        <v>CID001482</v>
      </c>
      <c r="G15" s="182" t="str">
        <f ca="1">IF(C15=$X$4,IF(ISERROR($V15),"Enter smelter details","RMI"),IF(ISERROR($V15),"",OFFSET('Smelter Look-up'!$F$4,$V15-4,0)))</f>
        <v>RMI</v>
      </c>
      <c r="H15" s="183">
        <f ca="1">IF(ISERROR($V15),"",OFFSET('Smelter Look-up'!$G$4,$V15-4,0))</f>
        <v>0</v>
      </c>
      <c r="I15" s="184" t="str">
        <f ca="1">IF(ISERROR($V15),"",OFFSET('Smelter Look-up'!$H$4,$V15-4,0))</f>
        <v>Mentok</v>
      </c>
      <c r="J15" s="184" t="str">
        <f ca="1">IF(ISERROR($V15),"",OFFSET('Smelter Look-up'!$I$4,$V15-4,0))</f>
        <v>Kepulauan Bangka Belitung</v>
      </c>
      <c r="K15" s="224"/>
      <c r="L15" s="224"/>
      <c r="M15" s="224"/>
      <c r="N15" s="224"/>
      <c r="O15" s="224"/>
      <c r="P15" s="185"/>
      <c r="Q15" s="225"/>
      <c r="R15" s="182" t="str">
        <f ca="1">IF(ISERROR($V15),"",OFFSET('Smelter Look-up'!$C$4,$V15-4,0)&amp;"")</f>
        <v>PT Timah Tbk Mentok</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533</v>
      </c>
      <c r="X15" s="227">
        <f t="shared" ca="1" si="3"/>
        <v>0</v>
      </c>
      <c r="AB15" s="228" t="str">
        <f t="shared" ca="1" si="4"/>
        <v>TinPT Timah Tbk Mentok</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BBB2C0E-6438-49CC-B36A-C79703354A9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45475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15867</v>
      </c>
      <c r="C6" s="98" t="s">
        <v>15876</v>
      </c>
      <c r="D6" s="98"/>
      <c r="E6" s="276"/>
    </row>
    <row r="7" spans="1:6" ht="15">
      <c r="A7" s="129"/>
      <c r="B7" s="274" t="s">
        <v>15868</v>
      </c>
      <c r="C7" s="98" t="s">
        <v>15876</v>
      </c>
      <c r="D7" s="98"/>
      <c r="E7" s="276"/>
    </row>
    <row r="8" spans="1:6" ht="15">
      <c r="A8" s="129"/>
      <c r="B8" s="274" t="s">
        <v>15869</v>
      </c>
      <c r="C8" s="98" t="s">
        <v>15876</v>
      </c>
      <c r="D8" s="98"/>
      <c r="E8" s="276"/>
    </row>
    <row r="9" spans="1:6" ht="15">
      <c r="A9" s="129"/>
      <c r="B9" s="274" t="s">
        <v>15870</v>
      </c>
      <c r="C9" s="98" t="s">
        <v>15876</v>
      </c>
      <c r="D9" s="98"/>
      <c r="E9" s="276"/>
    </row>
    <row r="10" spans="1:6" ht="15">
      <c r="A10" s="129"/>
      <c r="B10" s="274" t="s">
        <v>15871</v>
      </c>
      <c r="C10" s="98" t="s">
        <v>15876</v>
      </c>
      <c r="D10" s="98"/>
      <c r="E10" s="276"/>
    </row>
    <row r="11" spans="1:6" ht="15">
      <c r="A11" s="129"/>
      <c r="B11" s="274" t="s">
        <v>15872</v>
      </c>
      <c r="C11" s="98" t="s">
        <v>15876</v>
      </c>
      <c r="D11" s="98"/>
      <c r="E11" s="276"/>
    </row>
    <row r="12" spans="1:6" ht="15">
      <c r="A12" s="129"/>
      <c r="B12" s="274" t="s">
        <v>15873</v>
      </c>
      <c r="C12" s="98" t="s">
        <v>15876</v>
      </c>
      <c r="D12" s="98"/>
      <c r="E12" s="276"/>
    </row>
    <row r="13" spans="1:6" ht="15">
      <c r="A13" s="129"/>
      <c r="B13" s="274" t="s">
        <v>15874</v>
      </c>
      <c r="C13" s="98" t="s">
        <v>15876</v>
      </c>
      <c r="D13" s="98"/>
      <c r="E13" s="276"/>
    </row>
    <row r="14" spans="1:6" ht="15">
      <c r="A14" s="129"/>
      <c r="B14" s="274" t="s">
        <v>15875</v>
      </c>
      <c r="C14" s="98" t="s">
        <v>15876</v>
      </c>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6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4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51">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75.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24">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94.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16">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48.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3.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2024-07-02T21:52:44Z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