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
    </mc:Choice>
  </mc:AlternateContent>
  <xr:revisionPtr revIDLastSave="0" documentId="13_ncr:1_{03D83E71-BAFC-472F-AA31-995E48CDACC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J15" i="5"/>
  <c r="I15" i="5"/>
  <c r="F15" i="5"/>
  <c r="R15" i="5"/>
  <c r="H11" i="5"/>
  <c r="R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<sst xmlns="http://schemas.openxmlformats.org/spreadsheetml/2006/main" count="22334" uniqueCount="15809">
  <si>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</si>
  <si>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</si>
  <si>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</si>
  <si>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</si>
  <si>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</si>
  <si>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</si>
  <si>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</si>
  <si>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</si>
  <si>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</si>
  <si>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</si>
  <si>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</si>
  <si>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</si>
  <si>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</si>
  <si>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</si>
  <si>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</si>
  <si>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</si>
  <si>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</si>
  <si>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</si>
  <si>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</si>
  <si>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</si>
  <si>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</si>
  <si>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</si>
  <si>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</si>
  <si>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</si>
  <si>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</si>
  <si>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</si>
  <si>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</si>
  <si>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</si>
  <si>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</si>
  <si>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</si>
  <si>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</si>
  <si>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</si>
  <si>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</si>
  <si>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</si>
  <si>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</si>
  <si>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</si>
  <si>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</si>
  <si>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</si>
  <si>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</si>
  <si>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</si>
  <si>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</si>
  <si>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</si>
  <si>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</si>
  <si>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</si>
  <si>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</si>
  <si>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</si>
  <si>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</si>
  <si>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</si>
  <si>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</si>
  <si>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</si>
  <si>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</si>
  <si>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</si>
  <si>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</si>
  <si>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</si>
  <si>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</si>
  <si>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</si>
  <si>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</si>
  <si>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</si>
  <si>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</si>
  <si>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</si>
  <si>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</si>
  <si>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</si>
  <si>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</si>
  <si>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</si>
  <si>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</si>
  <si>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</si>
  <si>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</si>
  <si>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</si>
  <si>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</si>
  <si>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</si>
  <si>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</si>
  <si>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</si>
  <si>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</si>
  <si>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</si>
  <si>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</si>
  <si>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</si>
  <si>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</si>
  <si>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</si>
  <si>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</si>
  <si>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</si>
  <si>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</si>
  <si>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</si>
  <si>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</si>
  <si>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</si>
  <si>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</si>
  <si>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</si>
  <si>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</si>
  <si>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</si>
  <si>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</si>
  <si>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</si>
  <si>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</si>
  <si>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</si>
  <si>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</si>
  <si>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</si>
  <si>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</si>
  <si>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</si>
  <si>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</si>
  <si>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</si>
  <si>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</si>
  <si>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</si>
  <si>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</si>
  <si>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</si>
  <si>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</si>
  <si>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</si>
  <si>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</si>
  <si>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</si>
  <si>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</si>
  <si>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</si>
  <si>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</si>
  <si>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</si>
  <si>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</si>
  <si>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</si>
  <si>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</si>
  <si>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</si>
  <si>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</si>
  <si>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</si>
  <si>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</si>
  <si>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</si>
  <si>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</si>
  <si>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</si>
  <si>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</si>
  <si>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</si>
  <si>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</si>
  <si>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</si>
  <si>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</si>
  <si>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</si>
  <si>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</si>
  <si>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</si>
  <si>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</si>
  <si>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</si>
  <si>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</si>
  <si>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</si>
  <si>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</si>
  <si>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</si>
  <si>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</si>
  <si>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</si>
  <si>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</si>
  <si>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</si>
  <si>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</si>
  <si>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</si>
  <si>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</si>
  <si>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</si>
  <si>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</si>
  <si>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</si>
  <si>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</si>
  <si>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</si>
  <si>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</si>
  <si>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</si>
  <si>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</si>
  <si>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</si>
  <si>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</si>
  <si>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</si>
  <si>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</si>
  <si>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</si>
  <si>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</si>
  <si>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</si>
  <si>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</si>
  <si>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</si>
  <si>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</si>
  <si>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</si>
  <si>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</si>
  <si>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</si>
  <si>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</si>
  <si>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</si>
  <si>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</si>
  <si>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</si>
  <si>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</si>
  <si>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</si>
  <si>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</si>
  <si>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</si>
  <si>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</si>
  <si>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</si>
  <si>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</si>
  <si>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</si>
  <si>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</si>
  <si>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</si>
  <si>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</si>
  <si>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</si>
  <si>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</si>
  <si>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</si>
  <si>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</si>
  <si>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</si>
  <si>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</si>
  <si>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</si>
  <si>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</si>
  <si>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</si>
  <si>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</si>
  <si>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</si>
  <si>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</si>
  <si>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</si>
  <si>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</si>
  <si>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</si>
  <si>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</si>
  <si>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</si>
  <si>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</si>
  <si>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</si>
  <si>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</si>
  <si>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</si>
  <si>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</si>
  <si>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</si>
  <si>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</si>
  <si>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</si>
  <si>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</si>
  <si>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</si>
  <si>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</si>
  <si>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</si>
  <si>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</si>
  <si>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</si>
  <si>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</si>
  <si>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</si>
  <si>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</si>
  <si>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</si>
  <si>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</si>
  <si>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</si>
  <si>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</si>
  <si>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</si>
  <si>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</si>
  <si>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</si>
  <si>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</si>
  <si>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</si>
  <si>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</si>
  <si>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</si>
  <si>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</si>
  <si>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</si>
  <si>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</si>
  <si>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</si>
  <si>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</si>
  <si>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</si>
  <si>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</si>
  <si>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</si>
  <si>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</si>
  <si>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</si>
  <si>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</si>
  <si>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</si>
  <si>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</si>
  <si>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</si>
  <si>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</si>
  <si>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</si>
  <si>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</si>
  <si>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</si>
  <si>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</si>
  <si>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</si>
  <si>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</si>
  <si>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</si>
  <si>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</si>
  <si>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</si>
  <si>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</si>
  <si>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</si>
  <si>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</si>
  <si>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</si>
  <si>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</si>
  <si>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</si>
  <si>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</si>
  <si>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</si>
  <si>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</si>
  <si>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</si>
  <si>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</si>
  <si>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</si>
  <si>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</si>
  <si>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</si>
  <si>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</si>
  <si>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</si>
  <si>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</si>
  <si>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</si>
  <si>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</si>
  <si>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</si>
  <si>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</si>
  <si>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</si>
  <si>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</si>
  <si>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</si>
  <si>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</si>
  <si>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</si>
  <si>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</si>
  <si>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</si>
  <si>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</si>
  <si>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</si>
  <si>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</si>
  <si>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</si>
  <si>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</si>
  <si>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</si>
  <si>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</si>
  <si>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</si>
  <si>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</si>
  <si>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</si>
  <si>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</si>
  <si>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</si>
  <si>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</si>
  <si>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</si>
  <si>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</si>
  <si>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</si>
  <si>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</si>
  <si>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</si>
  <si>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</si>
  <si>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</si>
  <si>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</si>
  <si>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</si>
  <si>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</si>
  <si>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</si>
  <si>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</si>
  <si>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</si>
  <si>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</si>
  <si>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</si>
  <si>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</si>
  <si>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</si>
  <si>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</si>
  <si>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</si>
  <si>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</si>
  <si>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</si>
  <si>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</si>
  <si>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</si>
  <si>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</si>
  <si>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</si>
  <si>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</si>
  <si>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</si>
  <si>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</si>
  <si>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</si>
  <si>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</si>
  <si>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</si>
  <si>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</si>
  <si>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</si>
  <si>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</si>
  <si>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</si>
  <si>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</si>
  <si>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</si>
  <si>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</si>
  <si>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</si>
  <si>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</si>
  <si>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</si>
  <si>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</si>
  <si>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</si>
  <si>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</si>
  <si>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</si>
  <si>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</si>
  <si>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</si>
  <si>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</si>
  <si>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</si>
  <si>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</si>
  <si>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</si>
  <si>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</si>
  <si>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</si>
  <si>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</si>
  <si>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</si>
  <si>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</si>
  <si>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</si>
  <si>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</si>
  <si>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</si>
  <si>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</si>
  <si>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</si>
  <si>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</si>
  <si>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</si>
  <si>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</si>
  <si>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</si>
  <si>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</si>
  <si>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</si>
  <si>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</si>
  <si>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</si>
  <si>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</si>
  <si>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</si>
  <si>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</si>
  <si>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</si>
  <si>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</si>
  <si>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</si>
  <si>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</si>
  <si>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</si>
  <si>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</si>
  <si>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</si>
  <si>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</si>
  <si>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</si>
  <si>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</si>
  <si>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</si>
  <si>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</si>
  <si>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</si>
  <si>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</si>
  <si>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</si>
  <si>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</si>
  <si>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</si>
  <si>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</si>
  <si>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</si>
  <si>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</si>
  <si>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</si>
  <si>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</si>
  <si>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</si>
  <si>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</si>
  <si>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</si>
  <si>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</si>
  <si>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</si>
  <si>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</si>
  <si>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</si>
  <si>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</si>
  <si>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</si>
  <si>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</si>
  <si>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</si>
  <si>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</si>
  <si>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</si>
  <si>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</si>
  <si>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</si>
  <si>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</si>
  <si>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</si>
  <si>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</si>
  <si>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</si>
  <si>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</si>
  <si>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</si>
  <si>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</si>
  <si>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</si>
  <si>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</si>
  <si>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</si>
  <si>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</si>
  <si>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</si>
  <si>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</si>
  <si>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</si>
  <si>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</si>
  <si>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</si>
  <si>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</si>
  <si>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</si>
  <si>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</si>
  <si>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</si>
  <si>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</si>
  <si>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</si>
  <si>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</si>
  <si>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</si>
  <si>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</si>
  <si>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</si>
  <si>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</si>
  <si>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</si>
  <si>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</si>
  <si>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</si>
  <si>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</si>
  <si>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</si>
  <si>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</si>
  <si>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</si>
  <si>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</si>
  <si>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</si>
  <si>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</si>
  <si>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</si>
  <si>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</si>
  <si>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</si>
  <si>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</si>
  <si>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</si>
  <si>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</si>
  <si>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</si>
  <si>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</si>
  <si>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</si>
  <si>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</si>
  <si>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</si>
  <si>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</si>
  <si>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</si>
  <si>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</si>
  <si>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</si>
  <si>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</si>
  <si>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</si>
  <si>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</si>
  <si>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</si>
  <si>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</si>
  <si>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</si>
  <si>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</si>
  <si>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</si>
  <si>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</si>
  <si>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</si>
  <si>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</si>
  <si>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</si>
  <si>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</si>
  <si>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</si>
  <si>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</si>
  <si>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</si>
  <si>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</si>
  <si>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</si>
  <si>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</si>
  <si>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</si>
  <si>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</si>
  <si>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</si>
  <si>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</si>
  <si>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</si>
  <si>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</si>
  <si>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</si>
  <si>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</si>
  <si>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</si>
  <si>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</si>
  <si>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</si>
  <si>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</si>
  <si>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</si>
  <si>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</si>
  <si>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</si>
  <si>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</si>
  <si>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</si>
  <si>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</si>
  <si>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</si>
  <si>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</si>
  <si>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</si>
  <si>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</si>
  <si>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</si>
  <si>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</si>
  <si>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</si>
  <si>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</si>
  <si>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</si>
  <si>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</si>
  <si>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</si>
  <si>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</si>
  <si>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</si>
  <si>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</si>
  <si>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</si>
  <si>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</si>
  <si>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</si>
  <si>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</si>
  <si>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</si>
  <si>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</si>
  <si>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</si>
  <si>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</si>
  <si>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</si>
  <si>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</si>
  <si>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</si>
  <si>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</si>
  <si>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</si>
  <si>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</si>
  <si>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</si>
  <si>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</si>
  <si>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</si>
  <si>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</si>
  <si>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</si>
  <si>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</si>
  <si>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</si>
  <si>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</si>
  <si>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</si>
  <si>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</si>
  <si>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</si>
  <si>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</si>
  <si>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</si>
  <si>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</si>
  <si>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</si>
  <si>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</si>
  <si>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</si>
  <si>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</si>
  <si>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</si>
  <si>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</si>
  <si>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</si>
  <si>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</si>
  <si>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</si>
  <si>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</si>
  <si>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</si>
  <si>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</si>
  <si>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</si>
  <si>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</si>
  <si>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</si>
  <si>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</si>
  <si>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</si>
  <si>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</si>
  <si>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</si>
  <si>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</si>
  <si>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</si>
  <si>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</si>
  <si>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</si>
  <si>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</si>
  <si>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</si>
  <si>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</si>
  <si>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</si>
  <si>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</si>
  <si>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</si>
  <si>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</si>
  <si>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</si>
  <si>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</si>
  <si>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</si>
  <si>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</si>
  <si>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</si>
  <si>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</si>
  <si>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</si>
  <si>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</si>
  <si>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</si>
  <si>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</si>
  <si>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</si>
  <si>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</si>
  <si>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</si>
  <si>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</si>
  <si>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</si>
  <si>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</si>
  <si>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</si>
  <si>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</si>
  <si>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</si>
  <si>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</si>
  <si>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</si>
  <si>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</si>
  <si>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</si>
  <si>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</si>
  <si>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</si>
  <si>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</si>
  <si>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</si>
  <si>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</si>
  <si>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</si>
  <si>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</si>
  <si>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</si>
  <si>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</si>
  <si>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</si>
  <si>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</si>
  <si>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</si>
  <si>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</si>
  <si>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</si>
  <si>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</si>
  <si>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</si>
  <si>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</si>
  <si>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</si>
  <si>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</si>
  <si>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</si>
  <si>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</si>
  <si>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</si>
  <si>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</si>
  <si>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</si>
  <si>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</si>
  <si>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</si>
  <si>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</si>
  <si>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</si>
  <si>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</si>
  <si>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</si>
  <si>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</si>
  <si>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</si>
  <si>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</si>
  <si>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</si>
  <si>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</si>
  <si>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</si>
  <si>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</si>
  <si>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</si>
  <si>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</si>
  <si>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</si>
  <si>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</si>
  <si>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</si>
  <si>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</si>
  <si>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</si>
  <si>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</si>
  <si>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</si>
  <si>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</si>
  <si>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</si>
  <si>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</si>
  <si>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</si>
  <si>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</si>
  <si>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</si>
  <si>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</si>
  <si>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</si>
  <si>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</si>
  <si>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</si>
  <si>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</si>
  <si>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</si>
  <si>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</si>
  <si>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</si>
  <si>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</si>
  <si>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</si>
  <si>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</si>
  <si>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</si>
  <si>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</si>
  <si>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</si>
  <si>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</si>
  <si>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</si>
  <si>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</si>
  <si>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</si>
  <si>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</si>
  <si>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</si>
  <si>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</si>
  <si>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</si>
  <si>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</si>
  <si>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</si>
  <si>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</si>
  <si>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</si>
  <si>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</si>
  <si>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</si>
  <si>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</si>
  <si>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</si>
  <si>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</si>
  <si>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</si>
  <si>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</si>
  <si>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</si>
  <si>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</si>
  <si>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</si>
  <si>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</si>
  <si>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</si>
  <si>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</si>
  <si>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</si>
  <si>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</si>
  <si>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</si>
  <si>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</si>
  <si>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</si>
  <si>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</si>
  <si>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</si>
  <si>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</si>
  <si>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</si>
  <si>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</si>
  <si>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</si>
  <si>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</si>
  <si>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</si>
  <si>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</si>
  <si>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</si>
  <si>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</si>
  <si>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</si>
  <si>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</si>
  <si>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</si>
  <si>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</si>
  <si>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</si>
  <si>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</si>
  <si>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</si>
  <si>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</si>
  <si>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</si>
  <si>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</si>
  <si>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</si>
  <si>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</si>
  <si>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</si>
  <si>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</si>
  <si>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</si>
  <si>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</si>
  <si>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</si>
  <si>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</si>
  <si>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</si>
  <si>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</si>
  <si>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</si>
  <si>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</si>
  <si>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</si>
  <si>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</si>
  <si>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</si>
  <si>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</si>
  <si>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</si>
  <si>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</si>
  <si>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</si>
  <si>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</si>
  <si>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</si>
  <si>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</si>
  <si>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</si>
  <si>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</si>
  <si>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</si>
  <si>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</si>
  <si>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</si>
  <si>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</si>
  <si>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</si>
  <si>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</si>
  <si>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</si>
  <si>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</si>
  <si>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</si>
  <si>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</si>
  <si>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</si>
  <si>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</si>
  <si>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</si>
  <si>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</si>
  <si>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</si>
  <si>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</si>
  <si>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</si>
  <si>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</si>
  <si>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</si>
  <si>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</si>
  <si>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</si>
  <si>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</si>
  <si>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</si>
  <si>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</si>
  <si>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</si>
  <si>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</si>
  <si>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</si>
  <si>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</si>
  <si>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</si>
  <si>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</si>
  <si>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</si>
  <si>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</si>
  <si>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</si>
  <si>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</si>
  <si>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</si>
  <si>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</si>
  <si>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</si>
  <si>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</si>
  <si>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</si>
  <si>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</si>
  <si>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</si>
  <si>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</si>
  <si>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</si>
  <si>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</si>
  <si>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</si>
  <si>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</si>
  <si>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</si>
  <si>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</si>
  <si>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</si>
  <si>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</si>
  <si>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</si>
  <si>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</si>
  <si>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</si>
  <si>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</si>
  <si>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</si>
  <si>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</si>
  <si>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</si>
  <si>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</si>
  <si>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</si>
  <si>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</si>
  <si>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</si>
  <si>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</si>
  <si>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</si>
  <si>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</si>
  <si>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</si>
  <si>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</si>
  <si>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</si>
  <si>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</si>
  <si>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</si>
  <si>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</si>
  <si>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</si>
  <si>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</si>
  <si>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</si>
  <si>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</si>
  <si>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</si>
  <si>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</si>
  <si>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</si>
  <si>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</si>
  <si>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</si>
  <si>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</si>
  <si>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</si>
  <si>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</si>
  <si>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</si>
  <si>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</si>
  <si>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</si>
  <si>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</si>
  <si>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</si>
  <si>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</si>
  <si>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</si>
  <si>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</si>
  <si>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</si>
  <si>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</si>
  <si>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</si>
  <si>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</si>
  <si>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</si>
  <si>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</si>
  <si>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</si>
  <si>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</si>
  <si>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</si>
  <si>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</si>
  <si>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</si>
  <si>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</si>
  <si>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</si>
  <si>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</si>
  <si>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</si>
  <si>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</si>
  <si>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</si>
  <si>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</si>
  <si>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</si>
  <si>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</si>
  <si>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</si>
  <si>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</si>
  <si>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</si>
  <si>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</si>
  <si>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</si>
  <si>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</si>
  <si>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</si>
  <si>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</si>
  <si>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</si>
  <si>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</si>
  <si>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</si>
  <si>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</si>
  <si>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</si>
  <si>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</si>
  <si>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</si>
  <si>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</si>
  <si>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</si>
  <si>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</si>
  <si>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</si>
  <si>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</si>
  <si>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</si>
  <si>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</si>
  <si>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</si>
  <si>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</si>
  <si>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</si>
  <si>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</si>
  <si>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</si>
  <si>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</si>
  <si>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</si>
  <si>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</si>
  <si>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</si>
  <si>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</si>
  <si>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</si>
  <si>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</si>
  <si>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</si>
  <si>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</si>
  <si>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</si>
  <si>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</si>
  <si>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</si>
  <si>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</si>
  <si>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</si>
  <si>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</si>
  <si>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</si>
  <si>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</si>
  <si>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</si>
  <si>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</si>
  <si>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</si>
  <si>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</si>
  <si>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</si>
  <si>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</si>
  <si>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</si>
  <si>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</si>
  <si>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</si>
  <si>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</si>
  <si>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</si>
  <si>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</si>
  <si>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</si>
  <si>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</si>
  <si>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</si>
  <si>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</si>
  <si>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</si>
  <si>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</si>
  <si>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</si>
  <si>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</si>
  <si>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</si>
  <si>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</si>
  <si>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</si>
  <si>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</si>
  <si>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</si>
  <si>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</si>
  <si>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</si>
  <si>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</si>
  <si>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</si>
  <si>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</si>
  <si>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</si>
  <si>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</si>
  <si>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</si>
  <si>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</si>
  <si>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</si>
  <si>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</si>
  <si>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</si>
  <si>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</si>
  <si>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</si>
  <si>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</si>
  <si>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</si>
  <si>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</si>
  <si>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</si>
  <si>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</si>
  <si>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</si>
  <si>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</si>
  <si>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</si>
  <si>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</si>
  <si>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</si>
  <si>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</si>
  <si>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</si>
  <si>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</si>
  <si>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</si>
  <si>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</si>
  <si>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</si>
  <si>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</si>
  <si>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</si>
  <si>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</si>
  <si>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</si>
  <si>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</si>
  <si>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</si>
  <si>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</si>
  <si>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</si>
  <si>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</si>
  <si>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</si>
  <si>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</si>
  <si>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</si>
  <si>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</si>
  <si>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</si>
  <si>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</si>
  <si>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</si>
  <si>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</si>
  <si>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</si>
  <si>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</si>
  <si>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</si>
  <si>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</si>
  <si>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</si>
  <si>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</si>
  <si>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</si>
  <si>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</si>
  <si>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</si>
  <si>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</si>
  <si>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</si>
  <si>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</si>
  <si>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</si>
  <si>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</si>
  <si>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</si>
  <si>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</si>
  <si>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</si>
  <si>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</si>
  <si>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</si>
  <si>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</si>
  <si>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</si>
  <si>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</si>
  <si>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</si>
  <si>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</si>
  <si>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</si>
  <si>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</si>
  <si>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</si>
  <si>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</si>
  <si>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</si>
  <si>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</si>
  <si>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</si>
  <si>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</si>
  <si>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</si>
  <si>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</si>
  <si>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</si>
  <si>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</si>
  <si>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</si>
  <si>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</si>
  <si>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</si>
  <si>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</si>
  <si>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</si>
  <si>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</si>
  <si>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</si>
  <si>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</si>
  <si>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</si>
  <si>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</si>
  <si>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</si>
  <si>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</si>
  <si>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</si>
  <si>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</si>
  <si>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</si>
  <si>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</si>
  <si>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</si>
  <si>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</si>
  <si>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</si>
  <si>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</si>
  <si>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</si>
  <si>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</si>
  <si>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</si>
  <si>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</si>
  <si>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</si>
  <si>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</si>
  <si>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</si>
  <si>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</si>
  <si>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</si>
  <si>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</si>
  <si>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</si>
  <si>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</si>
  <si>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</si>
  <si>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</si>
  <si>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</si>
  <si>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</si>
  <si>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</si>
  <si>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</si>
  <si>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</si>
  <si>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</si>
  <si>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</si>
  <si>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</si>
  <si>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</si>
  <si>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</si>
  <si>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</si>
  <si>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</si>
  <si>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</si>
  <si>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</si>
  <si>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</si>
  <si>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</si>
  <si>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</si>
  <si>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</si>
  <si>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</si>
  <si>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</si>
  <si>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</si>
  <si>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</si>
  <si>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</si>
  <si>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</si>
  <si>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</si>
  <si>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</si>
  <si>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</si>
  <si>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</si>
  <si>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</si>
  <si>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</si>
  <si>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</si>
  <si>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</si>
  <si>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</si>
  <si>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</si>
  <si>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</si>
  <si>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</si>
  <si>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</si>
  <si>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</si>
  <si>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</si>
  <si>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</si>
  <si>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</si>
  <si>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</si>
  <si>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</si>
  <si>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</si>
  <si>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</si>
  <si>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</si>
  <si>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</si>
  <si>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</si>
  <si>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</si>
  <si>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</si>
  <si>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</si>
  <si>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</si>
  <si>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</si>
  <si>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</si>
  <si>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</si>
  <si>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</si>
  <si>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</si>
  <si>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</si>
  <si>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</si>
  <si>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</si>
  <si>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</si>
  <si>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</si>
  <si>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</si>
  <si>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</si>
  <si>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</si>
  <si>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</si>
  <si>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</si>
  <si>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</si>
  <si>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</si>
  <si>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</si>
  <si>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</si>
  <si>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</si>
  <si>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</si>
  <si>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</si>
  <si>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</si>
  <si>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</si>
  <si>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</si>
  <si>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</si>
  <si>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</si>
  <si>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</si>
  <si>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</si>
  <si>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</si>
  <si>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</si>
  <si>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</si>
  <si>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</si>
  <si>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</si>
  <si>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</si>
  <si>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</si>
  <si>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</si>
  <si>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</si>
  <si>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</si>
  <si>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</si>
  <si>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</si>
  <si>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</si>
  <si>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</si>
  <si>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</si>
  <si>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</si>
  <si>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</si>
  <si>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</si>
  <si>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</si>
  <si>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</si>
  <si>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</si>
  <si>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</si>
  <si>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</si>
  <si>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</si>
  <si>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</si>
  <si>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</si>
  <si>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</si>
  <si>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</si>
  <si>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</si>
  <si>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</si>
  <si>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</si>
  <si>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</si>
  <si>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</si>
  <si>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</si>
  <si>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</si>
  <si>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</si>
  <si>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</si>
  <si>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</si>
  <si>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</si>
  <si>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</si>
  <si>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</si>
  <si>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</si>
  <si>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</si>
  <si>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</si>
  <si>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</si>
  <si>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</si>
  <si>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</si>
  <si>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</si>
  <si>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</si>
  <si>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</si>
  <si>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</si>
  <si>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</si>
  <si>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</si>
  <si>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</si>
  <si>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</si>
  <si>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</si>
  <si>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</si>
  <si>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</si>
  <si>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</si>
  <si>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</si>
  <si>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</si>
  <si>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</si>
  <si>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</si>
  <si>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</si>
  <si>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</si>
  <si>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</si>
  <si>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</si>
  <si>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</si>
  <si>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</si>
  <si>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</si>
  <si>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</si>
  <si>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</si>
  <si>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</si>
  <si>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</si>
  <si>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</si>
  <si>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</si>
  <si>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</si>
  <si>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</si>
  <si>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</si>
  <si>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</si>
  <si>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</si>
  <si>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</si>
  <si>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</si>
  <si>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</si>
  <si>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</si>
  <si>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</si>
  <si>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</si>
  <si>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</si>
  <si>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</si>
  <si>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</si>
  <si>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</si>
  <si>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</si>
  <si>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</si>
  <si>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</si>
  <si>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</si>
  <si>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</si>
  <si>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</si>
  <si>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</si>
  <si>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</si>
  <si>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</si>
  <si>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</si>
  <si>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</si>
  <si>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</si>
  <si>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</si>
  <si>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</si>
  <si>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</si>
  <si>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</si>
  <si>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</si>
  <si>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</si>
  <si>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</si>
  <si>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</si>
  <si>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</si>
  <si>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</si>
  <si>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</si>
  <si>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</si>
  <si>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</si>
  <si>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</si>
  <si>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</si>
  <si>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</si>
  <si>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</si>
  <si>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</si>
  <si>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</si>
  <si>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</si>
  <si>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</si>
  <si>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</si>
  <si>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</si>
  <si>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</si>
  <si>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</si>
  <si>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</si>
  <si>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</si>
  <si>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</si>
  <si>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</si>
  <si>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</si>
  <si>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</si>
  <si>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</si>
  <si>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</si>
  <si>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</si>
  <si>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</si>
  <si>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</si>
  <si>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</si>
  <si>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</si>
  <si>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</si>
  <si>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</si>
  <si>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</si>
  <si>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</si>
  <si>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</si>
  <si>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</si>
  <si>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</si>
  <si>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</si>
  <si>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</si>
  <si>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</si>
  <si>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</si>
  <si>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</si>
  <si>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</si>
  <si>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</si>
  <si>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</si>
  <si>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</si>
  <si>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</si>
  <si>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</si>
  <si>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</si>
  <si>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</si>
  <si>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</si>
  <si>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</si>
  <si>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</si>
  <si>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</si>
  <si>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</si>
  <si>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</si>
  <si>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</si>
  <si>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</si>
  <si>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</si>
  <si>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</si>
  <si>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</si>
  <si>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</si>
  <si>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</si>
  <si>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</si>
  <si>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</si>
  <si>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</si>
  <si>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</si>
  <si>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</si>
  <si>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</si>
  <si>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</si>
  <si>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</si>
  <si>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</si>
  <si>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</si>
  <si>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</si>
  <si>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</si>
  <si>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</si>
  <si>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</si>
  <si>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</si>
  <si>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</si>
  <si>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</si>
  <si>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</si>
  <si>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</si>
  <si>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</si>
  <si>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</si>
  <si>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</si>
  <si>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</si>
  <si>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</si>
  <si>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</si>
  <si>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</si>
  <si>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</si>
  <si>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</si>
  <si>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</si>
  <si>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</si>
  <si>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</si>
  <si>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</si>
  <si>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</si>
  <si>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</si>
  <si>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</si>
  <si>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</si>
  <si>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</si>
  <si>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</si>
  <si>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</si>
  <si>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</si>
  <si>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</si>
  <si>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</si>
  <si>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</si>
  <si>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</si>
  <si>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</si>
  <si>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</si>
  <si>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</si>
  <si>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</si>
  <si>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</si>
  <si>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</si>
  <si>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</si>
  <si>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</si>
  <si>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</si>
  <si>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</si>
  <si>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</si>
  <si>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</si>
  <si>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</si>
  <si>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</si>
  <si>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</si>
  <si>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</si>
  <si>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</si>
  <si>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</si>
  <si>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</si>
  <si>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</si>
  <si>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</si>
  <si>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</si>
  <si>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</si>
  <si>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</si>
  <si>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</si>
  <si>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</si>
  <si>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</si>
  <si>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</si>
  <si>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</si>
  <si>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</si>
  <si>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</si>
  <si>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</si>
  <si>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</si>
  <si>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</si>
  <si>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</si>
  <si>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</si>
  <si>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</si>
  <si>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</si>
  <si>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</si>
  <si>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</si>
  <si>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</si>
  <si>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</si>
  <si>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</si>
  <si>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</si>
  <si>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</si>
  <si>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</si>
  <si>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</si>
  <si>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</si>
  <si>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</si>
  <si>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</si>
  <si>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</si>
  <si>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</si>
  <si>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</si>
  <si>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</si>
  <si>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</si>
  <si>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</si>
  <si>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</si>
  <si>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</si>
  <si>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</si>
  <si>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</si>
  <si>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</si>
  <si>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</si>
  <si>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</si>
  <si>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</si>
  <si>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</si>
  <si>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</si>
  <si>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</si>
  <si>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</si>
  <si>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</si>
  <si>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</si>
  <si>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</si>
  <si>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</si>
  <si>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</si>
  <si>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</si>
  <si>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</si>
  <si>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</si>
  <si>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</si>
  <si>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</si>
  <si>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</si>
  <si>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</si>
  <si>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</si>
  <si>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</si>
  <si>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</si>
  <si>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</si>
  <si>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</si>
  <si>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</si>
  <si>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</si>
  <si>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</si>
  <si>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</si>
  <si>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</si>
  <si>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</si>
  <si>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</si>
  <si>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</si>
  <si>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</si>
  <si>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</si>
  <si>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</si>
  <si>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</si>
  <si>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</si>
  <si>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</si>
  <si>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</si>
  <si>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</si>
  <si>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</si>
  <si>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</si>
  <si>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</si>
  <si>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</si>
  <si>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</si>
  <si>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</si>
  <si>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</si>
  <si>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</si>
  <si>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</si>
  <si>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</si>
  <si>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</si>
  <si>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</si>
  <si>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</si>
  <si>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</si>
  <si>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</si>
  <si>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</si>
  <si>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</si>
  <si>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</si>
  <si>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</si>
  <si>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</si>
  <si>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</si>
  <si>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</si>
  <si>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</si>
  <si>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</si>
  <si>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</si>
  <si>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</si>
  <si>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</si>
  <si>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</si>
  <si>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</si>
  <si>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</si>
  <si>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</si>
  <si>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</si>
  <si>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</si>
  <si>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</si>
  <si>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</si>
  <si>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</si>
  <si>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</si>
  <si>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</si>
  <si>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</si>
  <si>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</si>
  <si>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</si>
  <si>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</si>
  <si>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</si>
  <si>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</si>
  <si>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</si>
  <si>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</si>
  <si>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</si>
  <si>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</si>
  <si>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</si>
  <si>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</si>
  <si>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</si>
  <si>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</si>
  <si>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</si>
  <si>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</si>
  <si>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</si>
  <si>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</si>
  <si>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</si>
  <si>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</si>
  <si>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</si>
  <si>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</si>
  <si>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</si>
  <si>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</si>
  <si>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</si>
  <si>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</si>
  <si>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</si>
  <si>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</si>
  <si>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</si>
  <si>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</si>
  <si>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</si>
  <si>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</si>
  <si>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</si>
  <si>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</si>
  <si>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</si>
  <si>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</si>
  <si>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</si>
  <si>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</si>
  <si>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</si>
  <si>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</si>
  <si>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</si>
  <si>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</si>
  <si>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</si>
  <si>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</si>
  <si>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</si>
  <si>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</si>
  <si>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</si>
  <si>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</si>
  <si>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</si>
  <si>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</si>
  <si>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</si>
  <si>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</si>
  <si>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</si>
  <si>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</si>
  <si>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</si>
  <si>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</si>
  <si>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</si>
  <si>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</si>
  <si>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</si>
  <si>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</si>
  <si>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</si>
  <si>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</si>
  <si>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</si>
  <si>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</si>
  <si>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</si>
  <si>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</si>
  <si>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</si>
  <si>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</si>
  <si>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</si>
  <si>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</si>
  <si>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</si>
  <si>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</si>
  <si>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</si>
  <si>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</si>
  <si>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</si>
  <si>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</si>
  <si>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</si>
  <si>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</si>
  <si>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</si>
  <si>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</si>
  <si>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</si>
  <si>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</si>
  <si>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</si>
  <si>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</si>
  <si>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</si>
  <si>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</si>
  <si>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</si>
  <si>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</si>
  <si>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</si>
  <si>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</si>
  <si>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</si>
  <si>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</si>
  <si>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</si>
  <si>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</si>
  <si>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</si>
  <si>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</si>
  <si>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</si>
  <si>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</si>
  <si>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</si>
  <si>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</si>
  <si>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</si>
  <si>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</si>
  <si>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</si>
  <si>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</si>
  <si>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</si>
  <si>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</si>
  <si>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</si>
  <si>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</si>
  <si>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</si>
  <si>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</si>
  <si>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</si>
  <si>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</si>
  <si>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</si>
  <si>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</si>
  <si>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</si>
  <si>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</si>
  <si>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</si>
  <si>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</si>
  <si>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</si>
  <si>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</si>
  <si>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</si>
  <si>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</si>
  <si>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</si>
  <si>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</si>
  <si>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</si>
  <si>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</si>
  <si>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</si>
  <si>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</si>
  <si>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</si>
  <si>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</si>
  <si>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</si>
  <si>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</si>
  <si>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</si>
  <si>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</si>
  <si>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</si>
  <si>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</si>
  <si>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</si>
  <si>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</si>
  <si>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</si>
  <si>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</si>
  <si>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</si>
  <si>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</si>
  <si>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</si>
  <si>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</si>
  <si>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</si>
  <si>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</si>
  <si>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</si>
  <si>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</si>
  <si>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</si>
  <si>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</si>
  <si>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</si>
  <si>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</si>
  <si>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</si>
  <si>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</si>
  <si>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</si>
  <si>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</si>
  <si>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</si>
  <si>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</si>
  <si>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</si>
  <si>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</si>
  <si>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</si>
  <si>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</si>
  <si>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</si>
  <si>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</si>
  <si>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</si>
  <si>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</si>
  <si>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</si>
  <si>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</si>
  <si>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</si>
  <si>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</si>
  <si>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</si>
  <si>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</si>
  <si>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</si>
  <si>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</si>
  <si>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</si>
  <si>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</si>
  <si>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</si>
  <si>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</si>
  <si>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</si>
  <si>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</si>
  <si>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</si>
  <si>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</si>
  <si>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</si>
  <si>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</si>
  <si>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</si>
  <si>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</si>
  <si>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</si>
  <si>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</si>
  <si>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</si>
  <si>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</si>
  <si>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</si>
  <si>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</si>
  <si>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</si>
  <si>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</si>
  <si>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</si>
  <si>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</si>
  <si>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</si>
  <si>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</si>
  <si>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</si>
  <si>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</si>
  <si>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</si>
  <si>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</si>
  <si>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</si>
  <si>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</si>
  <si>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</si>
  <si>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</si>
  <si>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</si>
  <si>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</si>
  <si>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</si>
  <si>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</si>
  <si>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</si>
  <si>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</si>
  <si>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</si>
  <si>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</si>
  <si>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</si>
  <si>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</si>
  <si>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</si>
  <si>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</si>
  <si>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</si>
  <si>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</si>
  <si>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</si>
  <si>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</si>
  <si>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</si>
  <si>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</si>
  <si>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</si>
  <si>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</si>
  <si>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</si>
  <si>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</si>
  <si>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</si>
  <si>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</si>
  <si>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</si>
  <si>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</si>
  <si>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</si>
  <si>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</si>
  <si>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</si>
  <si>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</si>
  <si>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</si>
  <si>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</si>
  <si>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</si>
  <si>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</si>
  <si>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</si>
  <si>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</si>
  <si>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</si>
  <si>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</si>
  <si>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</si>
  <si>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</si>
  <si>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</si>
  <si>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</si>
  <si>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</si>
  <si>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</si>
  <si>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</si>
  <si>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</si>
  <si>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</si>
  <si>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</si>
  <si>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</si>
  <si>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</si>
  <si>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</si>
  <si>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</si>
  <si>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</si>
  <si>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</si>
  <si>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</si>
  <si>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</si>
  <si>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</si>
  <si>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</si>
  <si>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</si>
  <si>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</si>
  <si>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</si>
  <si>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</si>
  <si>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</si>
  <si>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</si>
  <si>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</si>
  <si>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</si>
  <si>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</si>
  <si>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</si>
  <si>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</si>
  <si>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</si>
  <si>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</si>
  <si>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</si>
  <si>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</si>
  <si>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</si>
  <si>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</si>
  <si>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</si>
  <si>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</si>
  <si>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</si>
  <si>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</si>
  <si>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</si>
  <si>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</si>
  <si>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</si>
  <si>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</si>
  <si>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</si>
  <si>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</si>
  <si>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</si>
  <si>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</si>
  <si>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</si>
  <si>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</si>
  <si>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</si>
  <si>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</si>
  <si>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</si>
  <si>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</si>
  <si>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</si>
  <si>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</si>
  <si>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</si>
  <si>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</si>
  <si>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</si>
  <si>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</si>
  <si>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</si>
  <si>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</si>
  <si>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</si>
  <si>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</si>
  <si>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</si>
  <si>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</si>
  <si>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</si>
  <si>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</si>
  <si>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</si>
  <si>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</si>
  <si>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</si>
  <si>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</si>
  <si>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</si>
  <si>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</si>
  <si>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</si>
  <si>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</si>
  <si>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</si>
  <si>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</si>
  <si>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</si>
  <si>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</si>
  <si>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</si>
  <si>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</si>
  <si>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</si>
  <si>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</si>
  <si>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</si>
  <si>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</si>
  <si>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</si>
  <si>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</si>
  <si>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</si>
  <si>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</si>
  <si>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</si>
  <si>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</si>
  <si>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</si>
  <si>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</si>
  <si>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</si>
  <si>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</si>
  <si>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</si>
  <si>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</si>
  <si>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</si>
  <si>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</si>
  <si>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</si>
  <si>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</si>
  <si>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</si>
  <si>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</si>
  <si>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</si>
  <si>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</si>
  <si>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</si>
  <si>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</si>
  <si>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</si>
  <si>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</si>
  <si>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</si>
  <si>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</si>
  <si>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</si>
  <si>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</si>
  <si>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</si>
  <si>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</si>
  <si>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</si>
  <si>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</si>
  <si>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</si>
  <si>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</si>
  <si>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</si>
  <si>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</si>
  <si>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</si>
  <si>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</si>
  <si>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</si>
  <si>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</si>
  <si>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</si>
  <si>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</si>
  <si>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</si>
  <si>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</si>
  <si>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</si>
  <si>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</si>
  <si>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</si>
  <si>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</si>
  <si>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</si>
  <si>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</si>
  <si>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</si>
  <si>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</si>
  <si>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</si>
  <si>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</si>
  <si>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</si>
  <si>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</si>
  <si>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</si>
  <si>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</si>
  <si>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</si>
  <si>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</si>
  <si>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</si>
  <si>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</si>
  <si>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</si>
  <si>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</si>
  <si>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</si>
  <si>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</si>
  <si>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</si>
  <si>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</si>
  <si>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</si>
  <si>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</si>
  <si>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</si>
  <si>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</si>
  <si>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</si>
  <si>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</si>
  <si>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</si>
  <si>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</si>
  <si>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</si>
  <si>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</si>
  <si>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</si>
  <si>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</si>
  <si>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</si>
  <si>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</si>
  <si>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</si>
  <si>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</si>
  <si>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</si>
  <si>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</si>
  <si>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</si>
  <si>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</si>
  <si>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</si>
  <si>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</si>
  <si>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</si>
  <si>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</si>
  <si>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</si>
  <si>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</si>
  <si>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</si>
  <si>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</si>
  <si>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</si>
  <si>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</si>
  <si>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</si>
  <si>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</si>
  <si>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</si>
  <si>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</si>
  <si>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</si>
  <si>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</si>
  <si>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</si>
  <si>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</si>
  <si>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</si>
  <si>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</si>
  <si>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</si>
  <si>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</si>
  <si>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</si>
  <si>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</si>
  <si>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</si>
  <si>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</si>
  <si>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</si>
  <si>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</si>
  <si>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</si>
  <si>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</si>
  <si>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</si>
  <si>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</si>
  <si>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</si>
  <si>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</si>
  <si>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</si>
  <si>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</si>
  <si>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</si>
  <si>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</si>
  <si>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</si>
  <si>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</si>
  <si>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</si>
  <si>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</si>
  <si>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</si>
  <si>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</si>
  <si>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</si>
  <si>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</si>
  <si>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</si>
  <si>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</si>
  <si>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</si>
  <si>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</si>
  <si>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</si>
  <si>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</si>
  <si>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</si>
  <si>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</si>
  <si>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</si>
  <si>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</si>
  <si>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</si>
  <si>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</si>
  <si>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</si>
  <si>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</si>
  <si>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</si>
  <si>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</si>
  <si>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</si>
  <si>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</si>
  <si>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</si>
  <si>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</si>
  <si>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</si>
  <si>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</si>
  <si>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</si>
  <si>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</si>
  <si>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</si>
  <si>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</si>
  <si>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</si>
  <si>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</si>
  <si>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</si>
  <si>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</si>
  <si>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</si>
  <si>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</si>
  <si>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</si>
  <si>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</si>
  <si>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</si>
  <si>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</si>
  <si>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</si>
  <si>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</si>
  <si>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</si>
  <si>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</si>
  <si>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</si>
  <si>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</si>
  <si>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</si>
  <si>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</si>
  <si>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</si>
  <si>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</si>
  <si>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</si>
  <si>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</si>
  <si>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</si>
  <si>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</si>
  <si>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</si>
  <si>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</si>
  <si>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</si>
  <si>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</si>
  <si>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</si>
  <si>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</si>
  <si>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</si>
  <si>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</si>
  <si>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</si>
  <si>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</si>
  <si>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</si>
  <si>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</si>
  <si>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</si>
  <si>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</si>
  <si>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</si>
  <si>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</si>
  <si>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</si>
  <si>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</si>
  <si>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</si>
  <si>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</si>
  <si>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</si>
  <si>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</si>
  <si>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</si>
  <si>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</si>
  <si>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</si>
  <si>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</si>
  <si>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</si>
  <si>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</si>
  <si>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</si>
  <si>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</si>
  <si>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</si>
  <si>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</si>
  <si>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</si>
  <si>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</si>
  <si>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</si>
  <si>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</si>
  <si>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</si>
  <si>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</si>
  <si>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</si>
  <si>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</si>
  <si>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</si>
  <si>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</si>
  <si>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</si>
  <si>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</si>
  <si>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</si>
  <si>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</si>
  <si>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</si>
  <si>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</si>
  <si>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</si>
  <si>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</si>
  <si>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</si>
  <si>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</si>
  <si>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</si>
  <si>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</si>
  <si>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</si>
  <si>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</si>
  <si>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</si>
  <si>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</si>
  <si>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</si>
  <si>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</si>
  <si>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</si>
  <si>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</si>
  <si>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</si>
  <si>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</si>
  <si>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</si>
  <si>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</si>
  <si>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</si>
  <si>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</si>
  <si>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</si>
  <si>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</si>
  <si>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</si>
  <si>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</si>
  <si>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</si>
  <si>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</si>
  <si>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</si>
  <si>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</si>
  <si>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</si>
  <si>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</si>
  <si>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</si>
  <si>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</si>
  <si>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</si>
  <si>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</si>
  <si>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</si>
  <si>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</si>
  <si>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</si>
  <si>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</si>
  <si>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</si>
  <si>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</si>
  <si>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</si>
  <si>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</si>
  <si>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</si>
  <si>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</si>
  <si>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</si>
  <si>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</si>
  <si>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</si>
  <si>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</si>
  <si>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</si>
  <si>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</si>
  <si>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</si>
  <si>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</si>
  <si>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</si>
  <si>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</si>
  <si>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</si>
  <si>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</si>
  <si>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</si>
  <si>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</si>
  <si>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</si>
  <si>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</si>
  <si>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</si>
  <si>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</si>
  <si>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</si>
  <si>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</si>
  <si>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</si>
  <si>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</si>
  <si>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</si>
  <si>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</si>
  <si>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</si>
  <si>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</si>
  <si>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</si>
  <si>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</si>
  <si>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</si>
  <si>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</si>
  <si>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</si>
  <si>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</si>
  <si>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</si>
  <si>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</si>
  <si>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</si>
  <si>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</si>
  <si>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</si>
  <si>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</si>
  <si>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</si>
  <si>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</si>
  <si>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</si>
  <si>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</si>
  <si>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</si>
  <si>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</si>
  <si>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</si>
  <si>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</si>
  <si>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</si>
  <si>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</si>
  <si>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</si>
  <si>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</si>
  <si>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</si>
  <si>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</si>
  <si>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</si>
  <si>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</si>
  <si>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</si>
  <si>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</si>
  <si>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</si>
  <si>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</si>
  <si>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</si>
  <si>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</si>
  <si>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</si>
  <si>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</si>
  <si>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</si>
  <si>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</si>
  <si>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</si>
  <si>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</si>
  <si>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</si>
  <si>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</si>
  <si>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</si>
  <si>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</si>
  <si>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</si>
  <si>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</si>
  <si>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</si>
  <si>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</si>
  <si>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</si>
  <si>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</si>
  <si>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</si>
  <si>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</si>
  <si>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</si>
  <si>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</si>
  <si>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</si>
  <si>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</si>
  <si>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</si>
  <si>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</si>
  <si>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</si>
  <si>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</si>
  <si>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</si>
  <si>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</si>
  <si>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</si>
  <si>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</si>
  <si>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</si>
  <si>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</si>
  <si>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</si>
  <si>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</si>
  <si>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</si>
  <si>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</si>
  <si>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</si>
  <si>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</si>
  <si>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</si>
  <si>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</si>
  <si>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</si>
  <si>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</si>
  <si>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</si>
  <si>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</si>
  <si>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</si>
  <si>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</si>
  <si>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</si>
  <si>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</si>
  <si>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</si>
  <si>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</si>
  <si>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</si>
  <si>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</si>
  <si>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</si>
  <si>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</si>
  <si>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</si>
  <si>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</si>
  <si>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</si>
  <si>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</si>
  <si>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</si>
  <si>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</si>
  <si>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</si>
  <si>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</si>
  <si>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</si>
  <si>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</si>
  <si>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</si>
  <si>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</si>
  <si>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</si>
  <si>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</si>
  <si>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</si>
  <si>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</si>
  <si>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</si>
  <si>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</si>
  <si>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</si>
  <si>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</si>
  <si>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</si>
  <si>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</si>
  <si>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</si>
  <si>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</si>
  <si>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</si>
  <si>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</si>
  <si>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</si>
  <si>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</si>
  <si>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</si>
  <si>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</si>
  <si>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</si>
  <si>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</si>
  <si>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</si>
  <si>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</si>
  <si>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</si>
  <si>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</si>
  <si>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</si>
  <si>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</si>
  <si>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</si>
  <si>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</si>
  <si>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</si>
  <si>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</si>
  <si>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</si>
  <si>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</si>
  <si>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</si>
  <si>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</si>
  <si>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</si>
  <si>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</si>
  <si>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</si>
  <si>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</si>
  <si>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</si>
  <si>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</si>
  <si>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</si>
  <si>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</si>
  <si>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</si>
  <si>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</si>
  <si>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</si>
  <si>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</si>
  <si>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</si>
  <si>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</si>
  <si>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</si>
  <si>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</si>
  <si>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</si>
  <si>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</si>
  <si>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</si>
  <si>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</si>
  <si>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</si>
  <si>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</si>
  <si>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</si>
  <si>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</si>
  <si>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</si>
  <si>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</si>
  <si>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</si>
  <si>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</si>
  <si>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</si>
  <si>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</si>
  <si>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</si>
  <si>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</si>
  <si>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</si>
  <si>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</si>
  <si>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</si>
  <si>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</si>
  <si>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</si>
  <si>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</si>
  <si>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</si>
  <si>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</si>
  <si>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</si>
  <si>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</si>
  <si>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</si>
  <si>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</si>
  <si>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</si>
  <si>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</si>
  <si>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</si>
  <si>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</si>
  <si>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</si>
  <si>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</si>
  <si>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</si>
  <si>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</si>
  <si>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</si>
  <si>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</si>
  <si>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</si>
  <si>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</si>
  <si>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</si>
  <si>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</si>
  <si>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</si>
  <si>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</si>
  <si>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</si>
  <si>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</si>
  <si>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</si>
  <si>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</si>
  <si>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</si>
  <si>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</si>
  <si>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</si>
  <si>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</si>
  <si>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</si>
  <si>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</si>
  <si>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</si>
  <si>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</si>
  <si>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</si>
  <si>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</si>
  <si>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</si>
  <si>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</si>
  <si>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</si>
  <si>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</si>
  <si>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</si>
  <si>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</si>
  <si>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</si>
  <si>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</si>
  <si>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</si>
  <si>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</si>
  <si>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</si>
  <si>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</si>
  <si>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</si>
  <si>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</si>
  <si>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</si>
  <si>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</si>
  <si>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</si>
  <si>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</si>
  <si>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</si>
  <si>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</si>
  <si>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</si>
  <si>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</si>
  <si>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</si>
  <si>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</si>
  <si>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</si>
  <si>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</si>
  <si>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</si>
  <si>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</si>
  <si>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</si>
  <si>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</si>
  <si>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</si>
  <si>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</si>
  <si>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</si>
  <si>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</si>
  <si>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</si>
  <si>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</si>
  <si>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</si>
  <si>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</si>
  <si>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</si>
  <si>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</si>
  <si>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</si>
  <si>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</si>
  <si>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</si>
  <si>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</si>
  <si>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</si>
  <si>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</si>
  <si>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</si>
  <si>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</si>
  <si>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</si>
  <si>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</si>
  <si>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</si>
  <si>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</si>
  <si>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</si>
  <si>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</si>
  <si>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</si>
  <si>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</si>
  <si>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</si>
  <si>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</si>
  <si>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</si>
  <si>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</si>
  <si>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</si>
  <si>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</si>
  <si>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</si>
  <si>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</si>
  <si>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</si>
  <si>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</si>
  <si>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</si>
  <si>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</si>
  <si>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</si>
  <si>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</si>
  <si>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</si>
  <si>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</si>
  <si>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</si>
  <si>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</si>
  <si>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</si>
  <si>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</si>
  <si>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</si>
  <si>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</si>
  <si>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</si>
  <si>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</si>
  <si>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</si>
  <si>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</si>
  <si>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</si>
  <si>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</si>
  <si>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</si>
  <si>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</si>
  <si>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</si>
  <si>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</si>
  <si>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</si>
  <si>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</si>
  <si>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</si>
  <si>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</si>
  <si>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</si>
  <si>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</si>
  <si>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</si>
  <si>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</si>
  <si>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</si>
  <si>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</si>
  <si>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</si>
  <si>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</si>
  <si>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</si>
  <si>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</si>
  <si>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</si>
  <si>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</si>
  <si>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</si>
  <si>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</si>
  <si>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</si>
  <si>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</si>
  <si>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</si>
  <si>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</si>
  <si>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</si>
  <si>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</si>
  <si>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</si>
  <si>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</si>
  <si>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</si>
  <si>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</si>
  <si>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</si>
  <si>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</si>
  <si>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</si>
  <si>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</si>
  <si>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</si>
  <si>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</si>
  <si>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</si>
  <si>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</si>
  <si>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</si>
  <si>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</si>
  <si>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</si>
  <si>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</si>
  <si>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</si>
  <si>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</si>
  <si>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</si>
  <si>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</si>
  <si>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</si>
  <si>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</si>
  <si>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</si>
  <si>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</si>
  <si>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</si>
  <si>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</si>
  <si>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</si>
  <si>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</si>
  <si>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</si>
  <si>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</si>
  <si>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</si>
  <si>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</si>
  <si>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</si>
  <si>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</si>
  <si>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</si>
  <si>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</si>
  <si>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</si>
  <si>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</si>
  <si>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</si>
  <si>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</si>
  <si>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</si>
  <si>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</si>
  <si>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</si>
  <si>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</si>
  <si>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</si>
  <si>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</si>
  <si>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</si>
  <si>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</si>
  <si>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</si>
  <si>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</si>
  <si>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</si>
  <si>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</si>
  <si>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</si>
  <si>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</si>
  <si>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</si>
  <si>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</si>
  <si>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</si>
  <si>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</si>
  <si>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</si>
  <si>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</si>
  <si>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</si>
  <si>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</si>
  <si>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</si>
  <si>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</si>
  <si>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</si>
  <si>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</si>
  <si>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</si>
  <si>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</si>
  <si>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</si>
  <si>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</si>
  <si>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</si>
  <si>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</si>
  <si>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</si>
  <si>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</si>
  <si>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</si>
  <si>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</si>
  <si>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</si>
  <si>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</si>
  <si>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</si>
  <si>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</si>
  <si>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</si>
  <si>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</si>
  <si>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</si>
  <si>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</si>
  <si>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</si>
  <si>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</si>
  <si>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</si>
  <si>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</si>
  <si>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</si>
  <si>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</si>
  <si>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</si>
  <si>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</si>
  <si>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</si>
  <si>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</si>
  <si>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</si>
  <si>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</si>
  <si>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</si>
  <si>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</si>
  <si>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</si>
  <si>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</si>
  <si>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</si>
  <si>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</si>
  <si>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</si>
  <si>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</si>
  <si>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</si>
  <si>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</si>
  <si>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</si>
  <si>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</si>
  <si>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</si>
  <si>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</si>
  <si>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</si>
  <si>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</si>
  <si>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</si>
  <si>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</si>
  <si>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</si>
  <si>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</si>
  <si>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</si>
  <si>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</si>
  <si>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</si>
  <si>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</si>
  <si>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</si>
  <si>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</si>
  <si>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</si>
  <si>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</si>
  <si>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</si>
  <si>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</si>
  <si>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</si>
  <si>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</si>
  <si>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</si>
  <si>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</si>
  <si>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</si>
  <si>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</si>
  <si>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</si>
  <si>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</si>
  <si>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</si>
  <si>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</si>
  <si>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</si>
  <si>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</si>
  <si>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</si>
  <si>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</si>
  <si>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</si>
  <si>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</si>
  <si>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</si>
  <si>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</si>
  <si>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</si>
  <si>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</si>
  <si>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</si>
  <si>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</si>
  <si>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</si>
  <si>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</si>
  <si>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</si>
  <si>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</si>
  <si>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</si>
  <si>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</si>
  <si>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</si>
  <si>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</si>
  <si>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</si>
  <si>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</si>
  <si>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</si>
  <si>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</si>
  <si>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</si>
  <si>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</si>
  <si>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</si>
  <si>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</si>
  <si>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</si>
  <si>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</si>
  <si>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</si>
  <si>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</si>
  <si>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</si>
  <si>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</si>
  <si>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</si>
  <si>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</si>
  <si>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</si>
  <si>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</si>
  <si>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</si>
  <si>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</si>
  <si>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</si>
  <si>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</si>
  <si>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</si>
  <si>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</si>
  <si>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</si>
  <si>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</si>
  <si>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</si>
  <si>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</si>
  <si>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</si>
  <si>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</si>
  <si>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</si>
  <si>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</si>
  <si>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</si>
  <si>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</si>
  <si>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</si>
  <si>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</si>
  <si>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</si>
  <si>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</si>
  <si>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</si>
  <si>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</si>
  <si>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</si>
  <si>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</si>
  <si>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</si>
  <si>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</si>
  <si>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</si>
  <si>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</si>
  <si>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</si>
  <si>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</si>
  <si>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</si>
  <si>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</si>
  <si>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</si>
  <si>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</si>
  <si>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</si>
  <si>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</si>
  <si>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</si>
  <si>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</si>
  <si>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</si>
  <si>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</si>
  <si>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</si>
  <si>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</si>
  <si>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</si>
  <si>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</si>
  <si>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</si>
  <si>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</si>
  <si>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</si>
  <si>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</si>
  <si>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</si>
  <si>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</si>
  <si>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</si>
  <si>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</si>
  <si>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</si>
  <si>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</si>
  <si>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</si>
  <si>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</si>
  <si>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</si>
  <si>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</si>
  <si>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</si>
  <si>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</si>
  <si>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</si>
  <si>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</si>
  <si>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</si>
  <si>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</si>
  <si>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</si>
  <si>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</si>
  <si>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</si>
  <si>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</si>
  <si>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</si>
  <si>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</si>
  <si>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</si>
  <si>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</si>
  <si>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</si>
  <si>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</si>
  <si>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</si>
  <si>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</si>
  <si>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</si>
  <si>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</si>
  <si>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</si>
  <si>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</si>
  <si>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</si>
  <si>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</si>
  <si>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</si>
  <si>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</si>
  <si>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</si>
  <si>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</si>
  <si>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</si>
  <si>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</si>
  <si>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</si>
  <si>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</si>
  <si>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</si>
  <si>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</si>
  <si>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</si>
  <si>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</si>
  <si>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</si>
  <si>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</si>
  <si>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</si>
  <si>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</si>
  <si>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</si>
  <si>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</si>
  <si>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</si>
  <si>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</si>
  <si>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</si>
  <si>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</si>
  <si>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</si>
  <si>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</si>
  <si>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</si>
  <si>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</si>
  <si>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</si>
  <si>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</si>
  <si>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</si>
  <si>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</si>
  <si>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</si>
  <si>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</si>
  <si>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</si>
  <si>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</si>
  <si>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</si>
  <si>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</si>
  <si>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</si>
  <si>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</si>
  <si>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</si>
  <si>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</si>
  <si>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</si>
  <si>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</si>
  <si>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</si>
  <si>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</si>
  <si>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</si>
  <si>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</si>
  <si>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</si>
  <si>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</si>
  <si>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</si>
  <si>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</si>
  <si>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</si>
  <si>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</si>
  <si>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</si>
  <si>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</si>
  <si>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</si>
  <si>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</si>
  <si>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</si>
  <si>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</si>
  <si>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</si>
  <si>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</si>
  <si>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</si>
  <si>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</si>
  <si>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</si>
  <si>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</si>
  <si>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</si>
  <si>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</si>
  <si>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</si>
  <si>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</si>
  <si>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</si>
  <si>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</si>
  <si>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</si>
  <si>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</si>
  <si>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</si>
  <si>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</si>
  <si>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</si>
  <si>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</si>
  <si>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</si>
  <si>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</si>
  <si>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</si>
  <si>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</si>
  <si>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</si>
  <si>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</si>
  <si>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</si>
  <si>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</si>
  <si>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</si>
  <si>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</si>
  <si>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</si>
  <si>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</si>
  <si>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</si>
  <si>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</si>
  <si>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</si>
  <si>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</si>
  <si>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</si>
  <si>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</si>
  <si>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</si>
  <si>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</si>
  <si>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</si>
  <si>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</si>
  <si>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</si>
  <si>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</si>
  <si>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</si>
  <si>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</si>
  <si>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</si>
  <si>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</si>
  <si>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</si>
  <si>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</si>
  <si>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</si>
  <si>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</si>
  <si>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</si>
  <si>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</si>
  <si>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</si>
  <si>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</si>
  <si>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</si>
  <si>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</si>
  <si>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</si>
  <si>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</si>
  <si>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</si>
  <si>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</si>
  <si>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</si>
  <si>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</si>
  <si>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</si>
  <si>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</si>
  <si>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</si>
  <si>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</si>
  <si>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</si>
  <si>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</si>
  <si>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</si>
  <si>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</si>
  <si>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</si>
  <si>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</si>
  <si>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</si>
  <si>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</si>
  <si>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</si>
  <si>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</si>
  <si>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</si>
  <si>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</si>
  <si>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</si>
  <si>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</si>
  <si>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</si>
  <si>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</si>
  <si>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</si>
  <si>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</si>
  <si>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</si>
  <si>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</si>
  <si>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</si>
  <si>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</si>
  <si>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</si>
  <si>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</si>
  <si>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</si>
  <si>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</si>
  <si>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</si>
  <si>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</si>
  <si>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</si>
  <si>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</si>
  <si>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</si>
  <si>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</si>
  <si>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</si>
  <si>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</si>
  <si>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</si>
  <si>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</si>
  <si>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</si>
  <si>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</si>
  <si>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</si>
  <si>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</si>
  <si>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</si>
  <si>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</si>
  <si>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</si>
  <si>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</si>
  <si>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</si>
  <si>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</si>
  <si>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</si>
  <si>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</si>
  <si>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</si>
  <si>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</si>
  <si>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</si>
  <si>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</si>
  <si>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</si>
  <si>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</si>
  <si>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</si>
  <si>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</si>
  <si>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</si>
  <si>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</si>
  <si>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</si>
  <si>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</si>
  <si>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</si>
  <si>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</si>
  <si>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</si>
  <si>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</si>
  <si>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</si>
  <si>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</si>
  <si>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</si>
  <si>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</si>
  <si>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</si>
  <si>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</si>
  <si>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</si>
  <si>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</si>
  <si>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</si>
  <si>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</si>
  <si>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</si>
  <si>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</si>
  <si>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</si>
  <si>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</si>
  <si>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</si>
  <si>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</si>
  <si>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</si>
  <si>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</si>
  <si>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</si>
  <si>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</si>
  <si>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</si>
  <si>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</si>
  <si>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</si>
  <si>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</si>
  <si>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</si>
  <si>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</si>
  <si>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</si>
  <si>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</si>
  <si>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</si>
  <si>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</si>
  <si>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</si>
  <si>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</si>
  <si>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</si>
  <si>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</si>
  <si>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</si>
  <si>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</si>
  <si>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</si>
  <si>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</si>
  <si>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</si>
  <si>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</si>
  <si>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</si>
  <si>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</si>
  <si>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</si>
  <si>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</si>
  <si>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</si>
  <si>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</si>
  <si>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</si>
  <si>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</si>
  <si>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</si>
  <si>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</si>
  <si>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</si>
  <si>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</si>
  <si>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</si>
  <si>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</si>
  <si>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</si>
  <si>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</si>
  <si>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</si>
  <si>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</si>
  <si>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</si>
  <si>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</si>
  <si>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</si>
  <si>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</si>
  <si>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</si>
  <si>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</si>
  <si>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</si>
  <si>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</si>
  <si>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</si>
  <si>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</si>
  <si>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</si>
  <si>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</si>
  <si>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</si>
  <si>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</si>
  <si>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</si>
  <si>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</si>
  <si>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</si>
  <si>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</si>
  <si>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</si>
  <si>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</si>
  <si>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</si>
  <si>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</si>
  <si>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</si>
  <si>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</si>
  <si>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</si>
  <si>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</si>
  <si>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</si>
  <si>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</si>
  <si>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</si>
  <si>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</si>
  <si>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</si>
  <si>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</si>
  <si>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</si>
  <si>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</si>
  <si>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</si>
  <si>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</si>
  <si>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</si>
  <si>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</si>
  <si>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</si>
  <si>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</si>
  <si>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</si>
  <si>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</si>
  <si>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</si>
  <si>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</si>
  <si>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</si>
  <si>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</si>
  <si>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</si>
  <si>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</si>
  <si>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</si>
  <si>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</si>
  <si>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</si>
  <si>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</si>
  <si>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</si>
  <si>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</si>
  <si>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</si>
  <si>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</si>
  <si>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</si>
  <si>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</si>
  <si>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</si>
  <si>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</si>
  <si>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</si>
  <si>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</si>
  <si>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</si>
  <si>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</si>
  <si>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</si>
  <si>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</si>
  <si>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</si>
  <si>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</si>
  <si>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</si>
  <si>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</si>
  <si>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</si>
  <si>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</si>
  <si>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</si>
  <si>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</si>
  <si>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</si>
  <si>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</si>
  <si>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</si>
  <si>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</si>
  <si>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</si>
  <si>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</si>
  <si>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</si>
  <si>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</si>
  <si>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</si>
  <si>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</si>
  <si>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</si>
  <si>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</si>
  <si>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</si>
  <si>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</si>
  <si>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</si>
  <si>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</si>
  <si>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</si>
  <si>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</si>
  <si>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</si>
  <si>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</si>
  <si>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</si>
  <si>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</si>
  <si>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</si>
  <si>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</si>
  <si>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</si>
  <si>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</si>
  <si>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</si>
  <si>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</si>
  <si>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</si>
  <si>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</si>
  <si>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</si>
  <si>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</si>
  <si>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</si>
  <si>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</si>
  <si>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</si>
  <si>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</si>
  <si>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</si>
  <si>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</si>
  <si>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</si>
  <si>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</si>
  <si>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</si>
  <si>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</si>
  <si>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</si>
  <si>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</si>
  <si>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</si>
  <si>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</si>
  <si>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</si>
  <si>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</si>
  <si>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</si>
  <si>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</si>
  <si>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</si>
  <si>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</si>
  <si>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</si>
  <si>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</si>
  <si>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</si>
  <si>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</si>
  <si>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</si>
  <si>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</si>
  <si>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</si>
  <si>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</si>
  <si>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</si>
  <si>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</si>
  <si>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</si>
  <si>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</si>
  <si>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</si>
  <si>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</si>
  <si>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</si>
  <si>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</si>
  <si>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</si>
  <si>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</si>
  <si>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</si>
  <si>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</si>
  <si>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</si>
  <si>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</si>
  <si>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</si>
  <si>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</si>
  <si>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</si>
  <si>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</si>
  <si>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</si>
  <si>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</si>
  <si>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</si>
  <si>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</si>
  <si>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</si>
  <si>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</si>
  <si>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</si>
  <si>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</si>
  <si>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</si>
  <si>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</si>
  <si>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</si>
  <si>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</si>
  <si>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</si>
  <si>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</si>
  <si>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</si>
  <si>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</si>
  <si>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</si>
  <si>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</si>
  <si>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</si>
  <si>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</si>
  <si>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</si>
  <si>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</si>
  <si>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</si>
  <si>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</si>
  <si>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</si>
  <si>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</si>
  <si>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</si>
  <si>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</si>
  <si>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</si>
  <si>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</si>
  <si>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</si>
  <si>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</si>
  <si>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</si>
  <si>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</si>
  <si>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</si>
  <si>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</si>
  <si>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</si>
  <si>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</si>
  <si>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</si>
  <si>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</si>
  <si>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</si>
  <si>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</si>
  <si>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</si>
  <si>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</si>
  <si>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</si>
  <si>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</si>
  <si>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</si>
  <si>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</si>
  <si>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</si>
  <si>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</si>
  <si>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</si>
  <si>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</si>
  <si>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</si>
  <si>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</si>
  <si>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</si>
  <si>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</si>
  <si>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</si>
  <si>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</si>
  <si>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</si>
  <si>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</si>
  <si>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</si>
  <si>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</si>
  <si>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</si>
  <si>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</si>
  <si>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</si>
  <si>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</si>
  <si>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</si>
  <si>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</si>
  <si>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</si>
  <si>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</si>
  <si>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</si>
  <si>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</si>
  <si>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</si>
  <si>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</si>
  <si>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</si>
  <si>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</si>
  <si>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</si>
  <si>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</si>
  <si>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</si>
  <si>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</si>
  <si>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</si>
  <si>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</si>
  <si>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</si>
  <si>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</si>
  <si>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</si>
  <si>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</si>
  <si>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</si>
  <si>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</si>
  <si>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</si>
  <si>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</si>
  <si>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</si>
  <si>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</si>
  <si>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</si>
  <si>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</si>
  <si>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</si>
  <si>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</si>
  <si>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</si>
  <si>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</si>
  <si>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</si>
  <si>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</si>
  <si>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</si>
  <si>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</si>
  <si>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</si>
  <si>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</si>
  <si>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</si>
  <si>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</si>
  <si>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</si>
  <si>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</si>
  <si>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</si>
  <si>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</si>
  <si>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</si>
  <si>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</si>
  <si>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</si>
  <si>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</si>
  <si>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</si>
  <si>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</si>
  <si>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</si>
  <si>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</si>
  <si>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</si>
  <si>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</si>
  <si>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</si>
  <si>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</si>
  <si>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</si>
  <si>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</si>
  <si>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</si>
  <si>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</si>
  <si>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</si>
  <si>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</si>
  <si>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</si>
  <si>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</si>
  <si>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</si>
  <si>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</si>
  <si>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</si>
  <si>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</si>
  <si>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</si>
  <si>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</si>
  <si>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</si>
  <si>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</si>
  <si>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</si>
  <si>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</si>
  <si>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</si>
  <si>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</si>
  <si>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</si>
  <si>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</si>
  <si>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</si>
  <si>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</si>
  <si>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</si>
  <si>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</si>
  <si>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</si>
  <si>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</si>
  <si>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</si>
  <si>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</si>
  <si>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</si>
  <si>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</si>
  <si>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</si>
  <si>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</si>
  <si>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</si>
  <si>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</si>
  <si>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</si>
  <si>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</si>
  <si>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</si>
  <si>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</si>
  <si>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</si>
  <si>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</si>
  <si>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</si>
  <si>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</si>
  <si>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</si>
  <si>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</si>
  <si>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</si>
  <si>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</si>
  <si>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</si>
  <si>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</si>
  <si>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</si>
  <si>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</si>
  <si>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</si>
  <si>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</si>
  <si>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</si>
  <si>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</si>
  <si>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</si>
  <si>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</si>
  <si>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</si>
  <si>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</si>
  <si>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</si>
  <si>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</si>
  <si>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</si>
  <si>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</si>
  <si>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</si>
  <si>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</si>
  <si>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</si>
  <si>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</si>
  <si>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</si>
  <si>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</si>
  <si>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</si>
  <si>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</si>
  <si>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</si>
  <si>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</si>
  <si>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</si>
  <si>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</si>
  <si>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</si>
  <si>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</si>
  <si>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</si>
  <si>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</si>
  <si>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</si>
  <si>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</si>
  <si>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</si>
  <si>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</si>
  <si>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</si>
  <si>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</si>
  <si>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</si>
  <si>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</si>
  <si>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</si>
  <si>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</si>
  <si>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</si>
  <si>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</si>
  <si>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</si>
  <si>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</si>
  <si>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</si>
  <si>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</si>
  <si>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</si>
  <si>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</si>
  <si>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</si>
  <si>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</si>
  <si>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</si>
  <si>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</si>
  <si>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</si>
  <si>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</si>
  <si>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</si>
  <si>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</si>
  <si>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</si>
  <si>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</si>
  <si>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</si>
  <si>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</si>
  <si>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</si>
  <si>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</si>
  <si>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</si>
  <si>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</si>
  <si>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</si>
  <si>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</si>
  <si>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</si>
  <si>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</si>
  <si>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</si>
  <si>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</si>
  <si>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</si>
  <si>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</si>
  <si>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</si>
  <si>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</si>
  <si>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</si>
  <si>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</si>
  <si>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</si>
  <si>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</si>
  <si>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</si>
  <si>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</si>
  <si>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</si>
  <si>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</si>
  <si>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</si>
  <si>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</si>
  <si>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</si>
  <si>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</si>
  <si>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</si>
  <si>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</si>
  <si>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</si>
  <si>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</si>
  <si>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</si>
  <si>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</si>
  <si>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</si>
  <si>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</si>
  <si>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</si>
  <si>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</si>
  <si>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</si>
  <si>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</si>
  <si>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</si>
  <si>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</si>
  <si>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</si>
  <si>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</si>
  <si>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</si>
  <si>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</si>
  <si>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</si>
  <si>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</si>
  <si>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</si>
  <si>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</si>
  <si>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</si>
  <si>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</si>
  <si>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</si>
  <si>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</si>
  <si>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</si>
  <si>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</si>
  <si>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</si>
  <si>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</si>
  <si>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</si>
  <si>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</si>
  <si>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</si>
  <si>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</si>
  <si>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</si>
  <si>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</si>
  <si>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</si>
  <si>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</si>
  <si>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</si>
  <si>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</si>
  <si>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</si>
  <si>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</si>
  <si>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</si>
  <si>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</si>
  <si>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</si>
  <si>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</si>
  <si>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</si>
  <si>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</si>
  <si>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</si>
  <si>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</si>
  <si>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</si>
  <si>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</si>
  <si>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</si>
  <si>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</si>
  <si>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</si>
  <si>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</si>
  <si>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</si>
  <si>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</si>
  <si>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</si>
  <si>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</si>
  <si>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</si>
  <si>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</si>
  <si>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</si>
  <si>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</si>
  <si>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</si>
  <si>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</si>
  <si>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</si>
  <si>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</si>
  <si>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</si>
  <si>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</si>
  <si>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</si>
  <si>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</si>
  <si>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</si>
  <si>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</si>
  <si>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</si>
  <si>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</si>
  <si>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</si>
  <si>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</si>
  <si>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</si>
  <si>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</si>
  <si>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</si>
  <si>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</si>
  <si>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</si>
  <si>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</si>
  <si>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</si>
  <si>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</si>
  <si>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</si>
  <si>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</si>
  <si>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</si>
  <si>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</si>
  <si>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</si>
  <si>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</si>
  <si>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</si>
  <si>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</si>
  <si>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</si>
  <si>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</si>
  <si>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</si>
  <si>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</si>
  <si>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</si>
  <si>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</si>
  <si>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</si>
  <si>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</si>
  <si>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</si>
  <si>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</si>
  <si>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</si>
  <si>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</si>
  <si>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</si>
  <si>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</si>
  <si>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</si>
  <si>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</si>
  <si>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</si>
  <si>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</si>
  <si>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</si>
  <si>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</si>
  <si>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</si>
  <si>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</si>
  <si>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</si>
  <si>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</si>
  <si>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</si>
  <si>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</si>
  <si>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</si>
  <si>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</si>
  <si>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</si>
  <si>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</si>
  <si>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</si>
  <si>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</si>
  <si>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</si>
  <si>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</si>
  <si>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</si>
  <si>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</si>
  <si>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</si>
  <si>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</si>
  <si>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</si>
  <si>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</si>
  <si>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</si>
  <si>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</si>
  <si>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</si>
  <si>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</si>
  <si>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</si>
  <si>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</si>
  <si>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</si>
  <si>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</si>
  <si>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</si>
  <si>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</si>
  <si>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</si>
  <si>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</si>
  <si>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</si>
  <si>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</si>
  <si>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</si>
  <si>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</si>
  <si>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</si>
  <si>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</si>
  <si>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</si>
  <si>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</si>
  <si>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</si>
  <si>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</si>
  <si>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</si>
  <si>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</si>
  <si>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</si>
  <si>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</si>
  <si>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</si>
  <si>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</si>
  <si>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</si>
  <si>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</si>
  <si>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</si>
  <si>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</si>
  <si>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</si>
  <si>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</si>
  <si>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</si>
  <si>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</si>
  <si>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</si>
  <si>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</si>
  <si>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</si>
  <si>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</si>
  <si>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</si>
  <si>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</si>
  <si>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</si>
  <si>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</si>
  <si>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</si>
  <si>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</si>
  <si>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</si>
  <si>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</si>
  <si>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</si>
  <si>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</si>
  <si>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</si>
  <si>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</si>
  <si>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</si>
  <si>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</si>
  <si>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</si>
  <si>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</si>
  <si>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</si>
  <si>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</si>
  <si>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</si>
  <si>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</si>
  <si>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</si>
  <si>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</si>
  <si>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</si>
  <si>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</si>
  <si>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</si>
  <si>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</si>
  <si>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</si>
  <si>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</si>
  <si>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</si>
  <si>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</si>
  <si>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</si>
  <si>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</si>
  <si>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</si>
  <si>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</si>
  <si>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</si>
  <si>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</si>
  <si>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</si>
  <si>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</si>
  <si>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</si>
  <si>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</si>
  <si>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</si>
  <si>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</si>
  <si>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</si>
  <si>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</si>
  <si>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</si>
  <si>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</si>
  <si>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</si>
  <si>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</si>
  <si>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</si>
  <si>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</si>
  <si>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</si>
  <si>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</si>
  <si>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</si>
  <si>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</si>
  <si>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</si>
  <si>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</si>
  <si>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</si>
  <si>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</si>
  <si>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</si>
  <si>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</si>
  <si>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</si>
  <si>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</si>
  <si>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</si>
  <si>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</si>
  <si>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</si>
  <si>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</si>
  <si>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</si>
  <si>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</si>
  <si>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</si>
  <si>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</si>
  <si>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</si>
  <si>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</si>
  <si>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</si>
  <si>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</si>
  <si>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</si>
  <si>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</si>
  <si>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</si>
  <si>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</si>
  <si>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</si>
  <si>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</si>
  <si>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</si>
  <si>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</si>
  <si>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</si>
  <si>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</si>
  <si>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</si>
  <si>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</si>
  <si>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</si>
  <si>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</si>
  <si>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</si>
  <si>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</si>
  <si>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</si>
  <si>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</si>
  <si>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</si>
  <si>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</si>
  <si>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</si>
  <si>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</si>
  <si>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</si>
  <si>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</si>
  <si>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</si>
  <si>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</si>
  <si>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</si>
  <si>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</si>
  <si>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</si>
  <si>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</si>
  <si>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</si>
  <si>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</si>
  <si>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</si>
  <si>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</si>
  <si>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</si>
  <si>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</si>
  <si>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</si>
  <si>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</si>
  <si>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</si>
  <si>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</si>
  <si>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</si>
  <si>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</si>
  <si>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</si>
  <si>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</si>
  <si>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</si>
  <si>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</si>
  <si>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</si>
  <si>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</si>
  <si>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</si>
  <si>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</si>
  <si>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</si>
  <si>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</si>
  <si>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</si>
  <si>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</si>
  <si>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</si>
  <si>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</si>
  <si>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</si>
  <si>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</si>
  <si>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</si>
  <si>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</si>
  <si>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</si>
  <si>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</si>
  <si>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</si>
  <si>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</si>
  <si>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</si>
  <si>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</si>
  <si>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</si>
  <si>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</si>
  <si>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</si>
  <si>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</si>
  <si>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</si>
  <si>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</si>
  <si>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</si>
  <si>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</si>
  <si>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</si>
  <si>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</si>
  <si>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</si>
  <si>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</si>
  <si>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</si>
  <si>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</si>
  <si>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</si>
  <si>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</si>
  <si>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</si>
  <si>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</si>
  <si>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</si>
  <si>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</si>
  <si>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</si>
  <si>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</si>
  <si>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</si>
  <si>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</si>
  <si>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</si>
  <si>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</si>
  <si>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</si>
  <si>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</si>
  <si>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</si>
  <si>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</si>
  <si>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</si>
  <si>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</si>
  <si>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</si>
  <si>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</si>
  <si>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</si>
  <si>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</si>
  <si>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</si>
  <si>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</si>
  <si>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</si>
  <si>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</si>
  <si>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</si>
  <si>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</si>
  <si>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</si>
  <si>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</si>
  <si>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</si>
  <si>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</si>
  <si>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</si>
  <si>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</si>
  <si>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</si>
  <si>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</si>
  <si>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</si>
  <si>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</si>
  <si>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</si>
  <si>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</si>
  <si>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</si>
  <si>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</si>
  <si>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</si>
  <si>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</si>
  <si>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</si>
  <si>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</si>
  <si>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</si>
  <si>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</si>
  <si>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</si>
  <si>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</si>
  <si>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</si>
  <si>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</si>
  <si>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</si>
  <si>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</si>
  <si>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</si>
  <si>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</si>
  <si>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</si>
  <si>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</si>
  <si>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</si>
  <si>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</si>
  <si>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</si>
  <si>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</si>
  <si>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</si>
  <si>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</si>
  <si>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</si>
  <si>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</si>
  <si>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</si>
  <si>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</si>
  <si>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</si>
  <si>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</si>
  <si>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</si>
  <si>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</si>
  <si>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</si>
  <si>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</si>
  <si>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</si>
  <si>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</si>
  <si>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</si>
  <si>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</si>
  <si>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</si>
  <si>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</si>
  <si>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</si>
  <si>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</si>
  <si>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</si>
  <si>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</si>
  <si>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</si>
  <si>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</si>
  <si>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</si>
  <si>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</si>
  <si>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</si>
  <si>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</si>
  <si>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</si>
  <si>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</si>
  <si>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</si>
  <si>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</si>
  <si>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</si>
  <si>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</si>
  <si>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</si>
  <si>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</si>
  <si>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</si>
  <si>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</si>
  <si>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</si>
  <si>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</si>
  <si>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</si>
  <si>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</si>
  <si>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</si>
  <si>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</si>
  <si>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</si>
  <si>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</si>
  <si>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</si>
  <si>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</si>
  <si>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</si>
  <si>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</si>
  <si>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</si>
  <si>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</si>
  <si>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</si>
  <si>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</si>
  <si>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</si>
  <si>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</si>
  <si>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</si>
  <si>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</si>
  <si>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</si>
  <si>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</si>
  <si>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</si>
  <si>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</si>
  <si>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</si>
  <si>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</si>
  <si>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</si>
  <si>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</si>
  <si>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</si>
  <si>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</si>
  <si>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</si>
  <si>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</si>
  <si>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</si>
  <si>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</si>
  <si>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</si>
  <si>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</si>
  <si>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</si>
  <si>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</si>
  <si>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</si>
  <si>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</si>
  <si>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</si>
  <si>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</si>
  <si>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</si>
  <si>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</si>
  <si>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</si>
  <si>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</si>
  <si>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</si>
  <si>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</si>
  <si>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</si>
  <si>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</si>
  <si>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</si>
  <si>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</si>
  <si>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</si>
  <si>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</si>
  <si>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</si>
  <si>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</si>
  <si>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</si>
  <si>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</si>
  <si>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</si>
  <si>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</si>
  <si>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</si>
  <si>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</si>
  <si>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</si>
  <si>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</si>
  <si>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</si>
  <si>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</si>
  <si>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</si>
  <si>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</si>
  <si>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</si>
  <si>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</si>
  <si>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</si>
  <si>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</si>
  <si>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</si>
  <si>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</si>
  <si>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</si>
  <si>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</si>
  <si>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</si>
  <si>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</si>
  <si>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</si>
  <si>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</si>
  <si>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</si>
  <si>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</si>
  <si>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</si>
  <si>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</si>
  <si>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</si>
  <si>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</si>
  <si>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</si>
  <si>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</si>
  <si>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</si>
  <si>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</si>
  <si>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</si>
  <si>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</si>
  <si>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</si>
  <si>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</si>
  <si>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</si>
  <si>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</si>
  <si>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</si>
  <si>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</si>
  <si>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</si>
  <si>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</si>
  <si>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</si>
  <si>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</si>
  <si>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</si>
  <si>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</si>
  <si>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</si>
  <si>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</si>
  <si>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</si>
  <si>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</si>
  <si>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</si>
  <si>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</si>
  <si>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</si>
  <si>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</si>
  <si>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</si>
  <si>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</si>
  <si>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</si>
  <si>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</si>
  <si>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</si>
  <si>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</si>
  <si>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</si>
  <si>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</si>
  <si>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</si>
  <si>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</si>
  <si>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</si>
  <si>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</si>
  <si>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</si>
  <si>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</si>
  <si>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</si>
  <si>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</si>
  <si>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</si>
  <si>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</si>
  <si>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</si>
  <si>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</si>
  <si>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</si>
  <si>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</si>
  <si>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</si>
  <si>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</si>
  <si>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</si>
  <si>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</si>
  <si>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</si>
  <si>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</si>
  <si>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</si>
  <si>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</si>
  <si>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</si>
  <si>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</si>
  <si>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</si>
  <si>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</si>
  <si>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</si>
  <si>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</si>
  <si>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</si>
  <si>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</si>
  <si>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</si>
  <si>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</si>
  <si>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</si>
  <si>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</si>
  <si>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</si>
  <si>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</si>
  <si>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</si>
  <si>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</si>
  <si>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</si>
  <si>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</si>
  <si>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</si>
  <si>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</si>
  <si>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</si>
  <si>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</si>
  <si>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</si>
  <si>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</si>
  <si>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</si>
  <si>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</si>
  <si>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</si>
  <si>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</si>
  <si>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</si>
  <si>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</si>
  <si>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</si>
  <si>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</si>
  <si>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</si>
  <si>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</si>
  <si>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</si>
  <si>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</si>
  <si>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</si>
  <si>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</si>
  <si>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</si>
  <si>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</si>
  <si>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</si>
  <si>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</si>
  <si>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</si>
  <si>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</si>
  <si>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</si>
  <si>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</si>
  <si>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</si>
  <si>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</si>
  <si>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</si>
  <si>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</si>
  <si>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</si>
  <si>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</si>
  <si>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</si>
  <si>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</si>
  <si>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</si>
  <si>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</si>
  <si>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</si>
  <si>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</si>
  <si>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</si>
  <si>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</si>
  <si>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</si>
  <si>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</si>
  <si>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</si>
  <si>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</si>
  <si>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</si>
  <si>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</si>
  <si>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</si>
  <si>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</si>
  <si>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</si>
  <si>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</si>
  <si>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</si>
  <si>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</si>
  <si>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</si>
  <si>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</si>
  <si>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</si>
  <si>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</si>
  <si>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</si>
  <si>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</si>
  <si>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</si>
  <si>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</si>
  <si>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</si>
  <si>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</si>
  <si>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</si>
  <si>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</si>
  <si>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</si>
  <si>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</si>
  <si>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</si>
  <si>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</si>
  <si>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</si>
  <si>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</si>
  <si>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</si>
  <si>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</si>
  <si>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</si>
  <si>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</si>
  <si>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</si>
  <si>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</si>
  <si>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</si>
  <si>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</si>
  <si>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</si>
  <si>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</si>
  <si>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</si>
  <si>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</si>
  <si>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</si>
  <si>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</si>
  <si>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</si>
  <si>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</si>
  <si>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</si>
  <si>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</si>
  <si>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</si>
  <si>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</si>
  <si>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</si>
  <si>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</si>
  <si>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</si>
  <si>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</si>
  <si>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</si>
  <si>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</si>
  <si>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</si>
  <si>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</si>
  <si>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</si>
  <si>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</si>
  <si>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</si>
  <si>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</si>
  <si>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</si>
  <si>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</si>
  <si>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</si>
  <si>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</si>
  <si>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</si>
  <si>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</si>
  <si>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</si>
  <si>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</si>
  <si>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</si>
  <si>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</si>
  <si>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</si>
  <si>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</si>
  <si>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</si>
  <si>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</si>
  <si>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</si>
  <si>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</si>
  <si>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</si>
  <si>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</si>
  <si>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</si>
  <si>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</si>
  <si>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</si>
  <si>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</si>
  <si>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</si>
  <si>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</si>
  <si>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</si>
  <si>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</si>
  <si>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</si>
  <si>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</si>
  <si>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</si>
  <si>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</si>
  <si>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</si>
  <si>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</si>
  <si>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</si>
  <si>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</si>
  <si>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</si>
  <si>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</si>
  <si>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</si>
  <si>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</si>
  <si>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</si>
  <si>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</si>
  <si>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</si>
  <si>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</si>
  <si>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</si>
  <si>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</si>
  <si>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</si>
  <si>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</si>
  <si>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</si>
  <si>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</si>
  <si>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</si>
  <si>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</si>
  <si>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</si>
  <si>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</si>
  <si>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</si>
  <si>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</si>
  <si>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</si>
  <si>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</si>
  <si>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</si>
  <si>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</si>
  <si>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</si>
  <si>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</si>
  <si>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</si>
  <si>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</si>
  <si>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</si>
  <si>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</si>
  <si>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</si>
  <si>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</si>
  <si>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</si>
  <si>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</si>
  <si>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</si>
  <si>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</si>
  <si>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</si>
  <si>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</si>
  <si>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</si>
  <si>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</si>
  <si>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</si>
  <si>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</si>
  <si>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</si>
  <si>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</si>
  <si>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</si>
  <si>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</si>
  <si>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</si>
  <si>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</si>
  <si>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</si>
  <si>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</si>
  <si>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</si>
  <si>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</si>
  <si>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</si>
  <si>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</si>
  <si>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</si>
  <si>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</si>
  <si>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</si>
  <si>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</si>
  <si>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</si>
  <si>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</si>
  <si>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</si>
  <si>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</si>
  <si>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</si>
  <si>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</si>
  <si>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</si>
  <si>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</si>
  <si>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</si>
  <si>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</si>
  <si>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</si>
  <si>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</si>
  <si>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</si>
  <si>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</si>
  <si>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</si>
  <si>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</si>
  <si>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</si>
  <si>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</si>
  <si>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</si>
  <si>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</si>
  <si>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</si>
  <si>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</si>
  <si>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</si>
  <si>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</si>
  <si>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</si>
  <si>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</si>
  <si>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</si>
  <si>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</si>
  <si>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</si>
  <si>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</si>
  <si>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</si>
  <si>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</si>
  <si>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</si>
  <si>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</si>
  <si>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</si>
  <si>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</si>
  <si>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</si>
  <si>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</si>
  <si>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</si>
  <si>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</si>
  <si>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</si>
  <si>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</si>
  <si>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</si>
  <si>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</si>
  <si>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</si>
  <si>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</si>
  <si>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</si>
  <si>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</si>
  <si>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</si>
  <si>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</si>
  <si>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</si>
  <si>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</si>
  <si>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</si>
  <si>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</si>
  <si>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</si>
  <si>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</si>
  <si>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</si>
  <si>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</si>
  <si>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</si>
  <si>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</si>
  <si>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</si>
  <si>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</si>
  <si>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</si>
  <si>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</si>
  <si>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</si>
  <si>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</si>
  <si>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</si>
  <si>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</si>
  <si>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</si>
  <si>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</si>
  <si>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</si>
  <si>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</si>
  <si>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</si>
  <si>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</si>
  <si>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</si>
  <si>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</si>
  <si>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</si>
  <si>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</si>
  <si>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</si>
  <si>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</si>
  <si>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</si>
  <si>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</si>
  <si>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</si>
  <si>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</si>
  <si>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</si>
  <si>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</si>
  <si>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</si>
  <si>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</si>
  <si>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</si>
  <si>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</si>
  <si>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</si>
  <si>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</si>
  <si>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</si>
  <si>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</si>
  <si>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</si>
  <si>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</si>
  <si>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</si>
  <si>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</si>
  <si>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</si>
  <si>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</si>
  <si>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</si>
  <si>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</si>
  <si>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</si>
  <si>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</si>
  <si>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</si>
  <si>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</si>
  <si>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</si>
  <si>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</si>
  <si>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</si>
  <si>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</si>
  <si>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</si>
  <si>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</si>
  <si>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</si>
  <si>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</si>
  <si>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</si>
  <si>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</si>
  <si>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</si>
  <si>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</si>
  <si>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</si>
  <si>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</si>
  <si>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</si>
  <si>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</si>
  <si>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</si>
  <si>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</si>
  <si>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</si>
  <si>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</si>
  <si>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</si>
  <si>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</si>
  <si>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</si>
  <si>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</si>
  <si>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</si>
  <si>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</si>
  <si>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</si>
  <si>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</si>
  <si>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</si>
  <si>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</si>
  <si>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</si>
  <si>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</si>
  <si>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</si>
  <si>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</si>
  <si>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</si>
  <si>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</si>
  <si>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</si>
  <si>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</si>
  <si>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</si>
  <si>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</si>
  <si>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</si>
  <si>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</si>
  <si>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</si>
  <si>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</si>
  <si>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</si>
  <si>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</si>
  <si>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</si>
  <si>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</si>
  <si>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</si>
  <si>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</si>
  <si>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</si>
  <si>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</si>
  <si>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</si>
  <si>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</si>
  <si>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</si>
  <si>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</si>
  <si>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</si>
  <si>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</si>
  <si>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</si>
  <si>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</si>
  <si>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</si>
  <si>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</si>
  <si>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</si>
  <si>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</si>
  <si>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</si>
  <si>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</si>
  <si>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</si>
  <si>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</si>
  <si>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</si>
  <si>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</si>
  <si>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</si>
  <si>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</si>
  <si>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</si>
  <si>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</si>
  <si>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</si>
  <si>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</si>
  <si>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</si>
  <si>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</si>
  <si>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</si>
  <si>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</si>
  <si>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</si>
  <si>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</si>
  <si>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</si>
  <si>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</si>
  <si>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</si>
  <si>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</si>
  <si>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</si>
  <si>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</si>
  <si>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</si>
  <si>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</si>
  <si>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</si>
  <si>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</si>
  <si>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</si>
  <si>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</si>
  <si>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</si>
  <si>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</si>
  <si>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</si>
  <si>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</si>
  <si>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</si>
  <si>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</si>
  <si>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</si>
  <si>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</si>
  <si>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</si>
  <si>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</si>
  <si>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</si>
  <si>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</si>
  <si>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</si>
  <si>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</si>
  <si>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</si>
  <si>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</si>
  <si>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</si>
  <si>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</si>
  <si>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</si>
  <si>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</si>
  <si>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</si>
  <si>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</si>
  <si>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</si>
  <si>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</si>
  <si>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</si>
  <si>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</si>
  <si>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</si>
  <si>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</si>
  <si>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</si>
  <si>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</si>
  <si>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</si>
  <si>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</si>
  <si>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</si>
  <si>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</si>
  <si>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</si>
  <si>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</si>
  <si>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</si>
  <si>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</si>
  <si>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</si>
  <si>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</si>
  <si>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</si>
  <si>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</si>
  <si>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</si>
  <si>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</si>
  <si>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</si>
  <si>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</si>
  <si>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</si>
  <si>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</si>
  <si>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</si>
  <si>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</si>
  <si>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</si>
  <si>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</si>
  <si>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</si>
  <si>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</si>
  <si>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</si>
  <si>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</si>
  <si>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</si>
  <si>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</si>
  <si>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</si>
  <si>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</si>
  <si>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</si>
  <si>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</si>
  <si>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</si>
  <si>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</si>
  <si>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</si>
  <si>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</si>
  <si>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</si>
  <si>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</si>
  <si>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</si>
  <si>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</si>
  <si>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</si>
  <si>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</si>
  <si>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</si>
  <si>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</si>
  <si>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</si>
  <si>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</si>
  <si>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</si>
  <si>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</si>
  <si>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</si>
  <si>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</si>
  <si>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</si>
  <si>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</si>
  <si>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</si>
  <si>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</si>
  <si>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</si>
  <si>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</si>
  <si>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</si>
  <si>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</si>
  <si>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</si>
  <si>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</si>
  <si>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</si>
  <si>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</si>
  <si>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</si>
  <si>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</si>
  <si>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</si>
  <si>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</si>
  <si>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</si>
  <si>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</si>
  <si>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</si>
  <si>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</si>
  <si>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</si>
  <si>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</si>
  <si>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</si>
  <si>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</si>
  <si>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</si>
  <si>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</si>
  <si>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</si>
  <si>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</si>
  <si>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</si>
  <si>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</si>
  <si>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</si>
  <si>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</si>
  <si>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</si>
  <si>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</si>
  <si>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</si>
  <si>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</si>
  <si>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</si>
  <si>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</si>
  <si>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</si>
  <si>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</si>
  <si>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</si>
  <si>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</si>
  <si>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</si>
  <si>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</si>
  <si>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</si>
  <si>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</si>
  <si>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</si>
  <si>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</si>
  <si>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</si>
  <si>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</si>
  <si>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</si>
  <si>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</si>
  <si>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</si>
  <si>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</si>
  <si>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</si>
  <si>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</si>
  <si>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</si>
  <si>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</si>
  <si>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</si>
  <si>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</si>
  <si>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</si>
  <si>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</si>
  <si>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</si>
  <si>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</si>
  <si>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</si>
  <si>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</si>
  <si>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</si>
  <si>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</si>
  <si>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</si>
  <si>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</si>
  <si>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</si>
  <si>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</si>
  <si>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</si>
  <si>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</si>
  <si>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</si>
  <si>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</si>
  <si>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</si>
  <si>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</si>
  <si>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</si>
  <si>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</si>
  <si>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</si>
  <si>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</si>
  <si>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</si>
  <si>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</si>
  <si>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</si>
  <si>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</si>
  <si>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</si>
  <si>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</si>
  <si>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</si>
  <si>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</si>
  <si>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</si>
  <si>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</si>
  <si>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</si>
  <si>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</si>
  <si>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</si>
  <si>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</si>
  <si>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</si>
  <si>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</si>
  <si>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</si>
  <si>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</si>
  <si>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</si>
  <si>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</si>
  <si>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</si>
  <si>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</si>
  <si>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</si>
  <si>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</si>
  <si>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</si>
  <si>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</si>
  <si>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</si>
  <si>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</si>
  <si>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</si>
  <si>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</si>
  <si>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</si>
  <si>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</si>
  <si>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</si>
  <si>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</si>
  <si>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</si>
  <si>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</si>
  <si>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</si>
  <si>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</si>
  <si>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</si>
  <si>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</si>
  <si>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</si>
  <si>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</si>
  <si>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</si>
  <si>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</si>
  <si>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</si>
  <si>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</si>
  <si>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</si>
  <si>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</si>
  <si>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</si>
  <si>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</si>
  <si>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</si>
  <si>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</si>
  <si>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</si>
  <si>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</si>
  <si>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</si>
  <si>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</si>
  <si>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</si>
  <si>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</si>
  <si>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</si>
  <si>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</si>
  <si>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</si>
  <si>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</si>
  <si>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</si>
  <si>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</si>
  <si>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</si>
  <si>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</si>
  <si>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</si>
  <si>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</si>
  <si>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</si>
  <si>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</si>
  <si>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</si>
  <si>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</si>
  <si>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</si>
  <si>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</si>
  <si>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</si>
  <si>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</si>
  <si>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</si>
  <si>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</si>
  <si>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</si>
  <si>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</si>
  <si>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</si>
  <si>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</si>
  <si>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</si>
  <si>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</si>
  <si>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</si>
  <si>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</si>
  <si>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</si>
  <si>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</si>
  <si>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</si>
  <si>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</si>
  <si>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</si>
  <si>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</si>
  <si>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</si>
  <si>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</si>
  <si>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</si>
  <si>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</si>
  <si>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</si>
  <si>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</si>
  <si>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</si>
  <si>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</si>
  <si>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</si>
  <si>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</si>
  <si>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</si>
  <si>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</si>
  <si>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</si>
  <si>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</si>
  <si>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</si>
  <si>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</si>
  <si>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</si>
  <si>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</si>
  <si>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</si>
  <si>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</si>
  <si>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</si>
  <si>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</si>
  <si>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</si>
  <si>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</si>
  <si>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</si>
  <si>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</si>
  <si>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</si>
  <si>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</si>
  <si>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</si>
  <si>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</si>
  <si>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</si>
  <si>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</si>
  <si>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</si>
  <si>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</si>
  <si>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</si>
  <si>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</si>
  <si>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</si>
  <si>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</si>
  <si>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</si>
  <si>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</si>
  <si>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</si>
  <si>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</si>
  <si>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</si>
  <si>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</si>
  <si>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</si>
  <si>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</si>
  <si>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</si>
  <si>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</si>
  <si>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</si>
  <si>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</si>
  <si>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</si>
  <si>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</si>
  <si>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</si>
  <si>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</si>
  <si>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</si>
  <si>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</si>
  <si>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</si>
  <si>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</si>
  <si>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</si>
  <si>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</si>
  <si>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</si>
  <si>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</si>
  <si>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</si>
  <si>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</si>
  <si>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</si>
  <si>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</si>
  <si>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</si>
  <si>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</si>
  <si>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</si>
  <si>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</si>
  <si>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</si>
  <si>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</si>
  <si>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</si>
  <si>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</si>
  <si>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</si>
  <si>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</si>
  <si>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</si>
  <si>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</si>
  <si>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</si>
  <si>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</si>
  <si>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</si>
  <si>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</si>
  <si>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</si>
  <si>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</si>
  <si>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</si>
  <si>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</si>
  <si>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</si>
  <si>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</si>
  <si>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</si>
  <si>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</si>
  <si>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</si>
  <si>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</si>
  <si>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</si>
  <si>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</si>
  <si>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</si>
  <si>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</si>
  <si>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</si>
  <si>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</si>
  <si>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</si>
  <si>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</si>
  <si>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</si>
  <si>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</si>
  <si>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</si>
  <si>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</si>
  <si>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</si>
  <si>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</si>
  <si>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</si>
  <si>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</si>
  <si>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</si>
  <si>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</si>
  <si>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</si>
  <si>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</si>
  <si>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</si>
  <si>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</si>
  <si>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</si>
  <si>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</si>
  <si>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</si>
  <si>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</si>
  <si>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</si>
  <si>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</si>
  <si>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</si>
  <si>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</si>
  <si>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</si>
  <si>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</si>
  <si>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</si>
  <si>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</si>
  <si>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</si>
  <si>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</si>
  <si>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</si>
  <si>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</si>
  <si>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</si>
  <si>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</si>
  <si>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</si>
  <si>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</si>
  <si>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</si>
  <si>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</si>
  <si>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</si>
  <si>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</si>
  <si>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</si>
  <si>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</si>
  <si>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</si>
  <si>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</si>
  <si>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</si>
  <si>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</si>
  <si>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</si>
  <si>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</si>
  <si>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</si>
  <si>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</si>
  <si>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</si>
  <si>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</si>
  <si>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</si>
  <si>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</si>
  <si>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</si>
  <si>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</si>
  <si>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</si>
  <si>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</si>
  <si>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</si>
  <si>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</si>
  <si>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</si>
  <si>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</si>
  <si>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</si>
  <si>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</si>
  <si>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</si>
  <si>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</si>
  <si>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</si>
  <si>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</si>
  <si>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</si>
  <si>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</si>
  <si>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</si>
  <si>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</si>
  <si>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</si>
  <si>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</si>
  <si>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</si>
  <si>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</si>
  <si>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</si>
  <si>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</si>
  <si>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</si>
  <si>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</si>
  <si>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</si>
  <si>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</si>
  <si>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</si>
  <si>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</si>
  <si>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</si>
  <si>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</si>
  <si>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</si>
  <si>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</si>
  <si>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</si>
  <si>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</si>
  <si>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</si>
  <si>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</si>
  <si>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</si>
  <si>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</si>
  <si>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</si>
  <si>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</si>
  <si>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</si>
  <si>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</si>
  <si>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</si>
  <si>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</si>
  <si>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</si>
  <si>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</si>
  <si>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</si>
  <si>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</si>
  <si>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</si>
  <si>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</si>
  <si>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</si>
  <si>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</si>
  <si>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</si>
  <si>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</si>
  <si>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</si>
  <si>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</si>
  <si>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</si>
  <si>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</si>
  <si>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</si>
  <si>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</si>
  <si>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</si>
  <si>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</si>
  <si>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</si>
  <si>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</si>
  <si>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</si>
  <si>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</si>
  <si>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</si>
  <si>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</si>
  <si>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</si>
  <si>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</si>
  <si>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</si>
  <si>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</si>
  <si>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</si>
  <si>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</si>
  <si>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</si>
  <si>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</si>
  <si>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</si>
  <si>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</si>
  <si>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</si>
  <si>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</si>
  <si>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</si>
  <si>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</si>
  <si>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</si>
  <si>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</si>
  <si>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</si>
  <si>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</si>
  <si>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</si>
  <si>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</si>
  <si>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</si>
  <si>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</si>
  <si>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</si>
  <si>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</si>
  <si>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</si>
  <si>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</si>
  <si>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</si>
  <si>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</si>
  <si>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</si>
  <si>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</si>
  <si>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</si>
  <si>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</si>
  <si>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</si>
  <si>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</si>
  <si>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</si>
  <si>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</si>
  <si>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</si>
  <si>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</si>
  <si>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</si>
  <si>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</si>
  <si>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</si>
  <si>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</si>
  <si>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</si>
  <si>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</si>
  <si>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</si>
  <si>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</si>
  <si>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</si>
  <si>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</si>
  <si>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</si>
  <si>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</si>
  <si>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</si>
  <si>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</si>
  <si>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</si>
  <si>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</si>
  <si>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</si>
  <si>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</si>
  <si>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</si>
  <si>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</si>
  <si>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</si>
  <si>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</si>
  <si>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</si>
  <si>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</si>
  <si>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</si>
  <si>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</si>
  <si>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</si>
  <si>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</si>
  <si>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</si>
  <si>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</si>
  <si>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</si>
  <si>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</si>
  <si>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</si>
  <si>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</si>
  <si>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</si>
  <si>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</si>
  <si>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</si>
  <si>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</si>
  <si>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</si>
  <si>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</si>
  <si>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</si>
  <si>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</si>
  <si>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</si>
  <si>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</si>
  <si>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</si>
  <si>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</si>
  <si>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</si>
  <si>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</si>
  <si>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</si>
  <si>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</si>
  <si>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</si>
  <si>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</si>
  <si>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</si>
  <si>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</si>
  <si>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</si>
  <si>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</si>
  <si>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</si>
  <si>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</si>
  <si>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</si>
  <si>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</si>
  <si>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</si>
  <si>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</si>
  <si>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</si>
  <si>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</si>
  <si>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</si>
  <si>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</si>
  <si>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</si>
  <si>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</si>
  <si>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</si>
  <si>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</si>
  <si>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</si>
  <si>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</si>
  <si>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</si>
  <si>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</si>
  <si>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</si>
  <si>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</si>
  <si>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</si>
  <si>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</si>
  <si>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</si>
  <si>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</si>
  <si>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</si>
  <si>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</si>
  <si>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</si>
  <si>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</si>
  <si>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</si>
  <si>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</si>
  <si>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</si>
  <si>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</si>
  <si>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</si>
  <si>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</si>
  <si>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</si>
  <si>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</si>
  <si>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</si>
  <si>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</si>
  <si>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</si>
  <si>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</si>
  <si>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</si>
  <si>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</si>
  <si>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</si>
  <si>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</si>
  <si>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</si>
  <si>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</si>
  <si>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</si>
  <si>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</si>
  <si>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</si>
  <si>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</si>
  <si>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</si>
  <si>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</si>
  <si>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</si>
  <si>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</si>
  <si>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</si>
  <si>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</si>
  <si>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</si>
  <si>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</si>
  <si>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</si>
  <si>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</si>
  <si>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</si>
  <si>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</si>
  <si>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</si>
  <si>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</si>
  <si>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</si>
  <si>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</si>
  <si>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</si>
  <si>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</si>
  <si>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</si>
  <si>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</si>
  <si>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</si>
  <si>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</si>
  <si>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</si>
  <si>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</si>
  <si>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</si>
  <si>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</si>
  <si>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</si>
  <si>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</si>
  <si>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</si>
  <si>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</si>
  <si>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</si>
  <si>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</si>
  <si>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</si>
  <si>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</si>
  <si>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</si>
  <si>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</si>
  <si>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</si>
  <si>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</si>
  <si>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</si>
  <si>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</si>
  <si>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</si>
  <si>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</si>
  <si>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</si>
  <si>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</si>
  <si>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</si>
  <si>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</si>
  <si>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</si>
  <si>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</si>
  <si>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</si>
  <si>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</si>
  <si>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</si>
  <si>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</si>
  <si>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</si>
  <si>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</si>
  <si>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</si>
  <si>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</si>
  <si>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</si>
  <si>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</si>
  <si>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</si>
  <si>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</si>
  <si>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</si>
  <si>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</si>
  <si>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</si>
  <si>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</si>
  <si>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</si>
  <si>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</si>
  <si>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</si>
  <si>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</si>
  <si>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</si>
  <si>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</si>
  <si>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</si>
  <si>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</si>
  <si>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</si>
  <si>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</si>
  <si>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</si>
  <si>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</si>
  <si>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</si>
  <si>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</si>
  <si>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</si>
  <si>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</si>
  <si>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</si>
  <si>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</si>
  <si>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</si>
  <si>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</si>
  <si>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</si>
  <si>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</si>
  <si>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</si>
  <si>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</si>
  <si>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</si>
  <si>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</si>
  <si>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</si>
  <si>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</si>
  <si>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</si>
  <si>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</si>
  <si>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</si>
  <si>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</si>
  <si>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</si>
  <si>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</si>
  <si>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</si>
  <si>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</si>
  <si>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</si>
  <si>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</si>
  <si>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</si>
  <si>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</si>
  <si>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</si>
  <si>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</si>
  <si>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</si>
  <si>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</si>
  <si>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</si>
  <si>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</si>
  <si>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</si>
  <si>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</si>
  <si>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</si>
  <si>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</si>
  <si>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</si>
  <si>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</si>
  <si>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</si>
  <si>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</si>
  <si>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</si>
  <si>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</si>
  <si>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</si>
  <si>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</si>
  <si>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</si>
  <si>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</si>
  <si>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</si>
  <si>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</si>
  <si>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</si>
  <si>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</si>
  <si>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</si>
  <si>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</si>
  <si>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</si>
  <si>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</si>
  <si>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</si>
  <si>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</si>
  <si>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</si>
  <si>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</si>
  <si>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</si>
  <si>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</si>
  <si>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</si>
  <si>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</si>
  <si>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</si>
  <si>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</si>
  <si>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</si>
  <si>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</si>
  <si>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</si>
  <si>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</si>
  <si>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</si>
  <si>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</si>
  <si>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</si>
  <si>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</si>
  <si>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</si>
  <si>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</si>
  <si>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</si>
  <si>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</si>
  <si>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</si>
  <si>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</si>
  <si>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</si>
  <si>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</si>
  <si>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</si>
  <si>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</si>
  <si>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</si>
  <si>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</si>
  <si>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</si>
  <si>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</si>
  <si>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</si>
  <si>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</si>
  <si>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</si>
  <si>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</si>
  <si>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</si>
  <si>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</si>
  <si>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</si>
  <si>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</si>
  <si>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</si>
  <si>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</si>
  <si>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</si>
  <si>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</si>
  <si>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</si>
  <si>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</si>
  <si>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</si>
  <si>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</si>
  <si>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</si>
  <si>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</si>
  <si>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</si>
  <si>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</si>
  <si>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</si>
  <si>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</si>
  <si>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</si>
  <si>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</si>
  <si>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</si>
  <si>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</si>
  <si>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</si>
  <si>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</si>
  <si>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</si>
  <si>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</si>
  <si>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</si>
  <si>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</si>
  <si>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</si>
  <si>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</si>
  <si>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</si>
  <si>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</si>
  <si>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</si>
  <si>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</si>
  <si>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</si>
  <si>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</si>
  <si>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</si>
  <si>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</si>
  <si>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</si>
  <si>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</si>
  <si>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</si>
  <si>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</si>
  <si>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</si>
  <si>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</si>
  <si>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</si>
  <si>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</si>
  <si>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</si>
  <si>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</si>
  <si>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</si>
  <si>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</si>
  <si>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</si>
  <si>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</si>
  <si>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</si>
  <si>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</si>
  <si>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</si>
  <si>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</si>
  <si>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</si>
  <si>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</si>
  <si>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</si>
  <si>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</si>
  <si>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</si>
  <si>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</si>
  <si>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</si>
  <si>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</si>
  <si>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</si>
  <si>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</si>
  <si>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</si>
  <si>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</si>
  <si>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</si>
  <si>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</si>
  <si>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</si>
  <si>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</si>
  <si>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</si>
  <si>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</si>
  <si>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</si>
  <si>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</si>
  <si>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</si>
  <si>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</si>
  <si>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</si>
  <si>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</si>
  <si>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</si>
  <si>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</si>
  <si>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</si>
  <si>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</si>
  <si>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</si>
  <si>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</si>
  <si>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</si>
  <si>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</si>
  <si>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</si>
  <si>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</si>
  <si>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</si>
  <si>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</si>
  <si>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</si>
  <si>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</si>
  <si>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</si>
  <si>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</si>
  <si>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</si>
  <si>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</si>
  <si>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</si>
  <si>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</si>
  <si>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</si>
  <si>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</si>
  <si>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</si>
  <si>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</si>
  <si>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</si>
  <si>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</si>
  <si>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</si>
  <si>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</si>
  <si>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</si>
  <si>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</si>
  <si>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</si>
  <si>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</si>
  <si>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</si>
  <si>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</si>
  <si>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</si>
  <si>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</si>
  <si>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</si>
  <si>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</si>
  <si>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</si>
  <si>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</si>
  <si>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</si>
  <si>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</si>
  <si>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</si>
  <si>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</si>
  <si>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</si>
  <si>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</si>
  <si>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</si>
  <si>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</si>
  <si>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</si>
  <si>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</si>
  <si>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</si>
  <si>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</si>
  <si>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</si>
  <si>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</si>
  <si>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</si>
  <si>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</si>
  <si>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</si>
  <si>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</si>
  <si>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</si>
  <si>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</si>
  <si>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</si>
  <si>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</si>
  <si>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</si>
  <si>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</si>
  <si>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</si>
  <si>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</si>
  <si>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</si>
  <si>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</si>
  <si>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</si>
  <si>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</si>
  <si>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</si>
  <si>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</si>
  <si>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</si>
  <si>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</si>
  <si>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</si>
  <si>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</si>
  <si>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</si>
  <si>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</si>
  <si>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</si>
  <si>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</si>
  <si>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</si>
  <si>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</si>
  <si>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</si>
  <si>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</si>
  <si>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</si>
  <si>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</si>
  <si>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</si>
  <si>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</si>
  <si>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</si>
  <si>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</si>
  <si>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</si>
  <si>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</si>
  <si>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</si>
  <si>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</si>
  <si>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</si>
  <si>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</si>
  <si>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</si>
  <si>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</si>
  <si>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</si>
  <si>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</si>
  <si>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</si>
  <si>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</si>
  <si>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</si>
  <si>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</si>
  <si>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</si>
  <si>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</si>
  <si>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</si>
  <si>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</si>
  <si>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</si>
  <si>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</si>
  <si>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</si>
  <si>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</si>
  <si>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</si>
  <si>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</si>
  <si>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</si>
  <si>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</si>
  <si>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</si>
  <si>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</si>
  <si>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</si>
  <si>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</si>
  <si>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</si>
  <si>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</si>
  <si>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</si>
  <si>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</si>
  <si>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</si>
  <si>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</si>
  <si>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</si>
  <si>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</si>
  <si>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</si>
  <si>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</si>
  <si>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</si>
  <si>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</si>
  <si>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</si>
  <si>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</si>
  <si>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</si>
  <si>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</si>
  <si>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</si>
  <si>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</si>
  <si>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</si>
  <si>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</si>
  <si>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</si>
  <si>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</si>
  <si>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</si>
  <si>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</si>
  <si>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</si>
  <si>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</si>
  <si>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</si>
  <si>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</si>
  <si>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</si>
  <si>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</si>
  <si>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</si>
  <si>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</si>
  <si>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</si>
  <si>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</si>
  <si>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</si>
  <si>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</si>
  <si>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</si>
  <si>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</si>
  <si>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</si>
  <si>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</si>
  <si>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</si>
  <si>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</si>
  <si>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</si>
  <si>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</si>
  <si>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</si>
  <si>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</si>
  <si>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</si>
  <si>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</si>
  <si>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</si>
  <si>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</si>
  <si>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</si>
  <si>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</si>
  <si>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</si>
  <si>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</si>
  <si>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</si>
  <si>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</si>
  <si>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</si>
  <si>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</si>
  <si>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</si>
  <si>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</si>
  <si>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</si>
  <si>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</si>
  <si>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</si>
  <si>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</si>
  <si>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</si>
  <si>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</si>
  <si>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</si>
  <si>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</si>
  <si>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</si>
  <si>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</si>
  <si>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</si>
  <si>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</si>
  <si>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</si>
  <si>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</si>
  <si>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</si>
  <si>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</si>
  <si>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</si>
  <si>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</si>
  <si>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</si>
  <si>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</si>
  <si>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</si>
  <si>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</si>
  <si>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</si>
  <si>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</si>
  <si>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</si>
  <si>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</si>
  <si>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</si>
  <si>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</si>
  <si>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</si>
  <si>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</si>
  <si>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</si>
  <si>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</si>
  <si>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</si>
  <si>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</si>
  <si>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</si>
  <si>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</si>
  <si>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</si>
  <si>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</si>
  <si>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</si>
  <si>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</si>
  <si>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</si>
  <si>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</si>
  <si>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</si>
  <si>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</si>
  <si>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</si>
  <si>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</si>
  <si>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</si>
  <si>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</si>
  <si>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</si>
  <si>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</si>
  <si>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</si>
  <si>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</si>
  <si>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</si>
  <si>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</si>
  <si>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</si>
  <si>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</si>
  <si>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</si>
  <si>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</si>
  <si>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</si>
  <si>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</si>
  <si>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</si>
  <si>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</si>
  <si>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</si>
  <si>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</si>
  <si>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</si>
  <si>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</si>
  <si>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</si>
  <si>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</si>
  <si>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</si>
  <si>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</si>
  <si>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</si>
  <si>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</si>
  <si>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</si>
  <si>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</si>
  <si>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</si>
  <si>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</si>
  <si>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</si>
  <si>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</si>
  <si>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</si>
  <si>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</si>
  <si>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</si>
  <si>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</si>
  <si>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</si>
  <si>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</si>
  <si>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</si>
  <si>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</si>
  <si>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</si>
  <si>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</si>
  <si>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</si>
  <si>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</si>
  <si>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</si>
  <si>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</si>
  <si>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</si>
  <si>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</si>
  <si>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</si>
  <si>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</si>
  <si>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</si>
  <si>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</si>
  <si>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</si>
  <si>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</si>
  <si>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</si>
  <si>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</si>
  <si>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</si>
  <si>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</si>
  <si>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</si>
  <si>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</si>
  <si>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</si>
  <si>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</si>
  <si>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</si>
  <si>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</si>
  <si>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</si>
  <si>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</si>
  <si>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</si>
  <si>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</si>
  <si>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</si>
  <si>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</si>
  <si>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</si>
  <si>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</si>
  <si>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</si>
  <si>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</si>
  <si>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</si>
  <si>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</si>
  <si>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</si>
  <si>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</si>
  <si>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</si>
  <si>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</si>
  <si>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</si>
  <si>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</si>
  <si>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</si>
  <si>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</si>
  <si>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</si>
  <si>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</si>
  <si>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</si>
  <si>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</si>
  <si>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</si>
  <si>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</si>
  <si>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</si>
  <si>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</si>
  <si>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</si>
  <si>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</si>
  <si>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</si>
  <si>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</si>
  <si>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</si>
  <si>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</si>
  <si>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</si>
  <si>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</si>
  <si>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</si>
  <si>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</si>
  <si>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</si>
  <si>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</si>
  <si>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</si>
  <si>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</si>
  <si>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</si>
  <si>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</si>
  <si>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</si>
  <si>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</si>
  <si>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</si>
  <si>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</si>
  <si>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</si>
  <si>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</si>
  <si>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</si>
  <si>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</si>
  <si>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</si>
  <si>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</si>
  <si>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</si>
  <si>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</si>
  <si>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</si>
  <si>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</si>
  <si>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</si>
  <si>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</si>
  <si>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</si>
  <si>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</si>
  <si>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</si>
  <si>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</si>
  <si>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</si>
  <si>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</si>
  <si>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</si>
  <si>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</si>
  <si>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</si>
  <si>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</si>
  <si>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</si>
  <si>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</si>
  <si>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</si>
  <si>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</si>
  <si>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</si>
  <si>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</si>
  <si>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</si>
  <si>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</si>
  <si>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</si>
  <si>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</si>
  <si>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</si>
  <si>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</si>
  <si>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</si>
  <si>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</si>
  <si>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</si>
  <si>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</si>
  <si>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</si>
  <si>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</si>
  <si>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</si>
  <si>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</si>
  <si>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</si>
  <si>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</si>
  <si>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</si>
  <si>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</si>
  <si>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</si>
  <si>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</si>
  <si>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</si>
  <si>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</si>
  <si>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</si>
  <si>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</si>
  <si>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</si>
  <si>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</si>
  <si>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</si>
  <si>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</si>
  <si>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</si>
  <si>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</si>
  <si>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</si>
  <si>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</si>
  <si>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</si>
  <si>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</si>
  <si>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</si>
  <si>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</si>
  <si>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</si>
  <si>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</si>
  <si>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</si>
  <si>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</si>
  <si>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</si>
  <si>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</si>
  <si>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</si>
  <si>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</si>
  <si>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</si>
  <si>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</si>
  <si>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</si>
  <si>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</si>
  <si>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</si>
  <si>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</si>
  <si>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</si>
  <si>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</si>
  <si>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</si>
  <si>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</si>
  <si>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</si>
  <si>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</si>
  <si>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</si>
  <si>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</si>
  <si>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</si>
  <si>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</si>
  <si>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</si>
  <si>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</si>
  <si>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</si>
  <si>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</si>
  <si>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</si>
  <si>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</si>
  <si>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</si>
  <si>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</si>
  <si>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</si>
  <si>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</si>
  <si>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</si>
  <si>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</si>
  <si>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</si>
  <si>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</si>
  <si>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</si>
  <si>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</si>
  <si>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</si>
  <si>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</si>
  <si>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</si>
  <si>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</si>
  <si>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</si>
  <si>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</si>
  <si>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</si>
  <si>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</si>
  <si>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</si>
  <si>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</si>
  <si>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</si>
  <si>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</si>
  <si>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</si>
  <si>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</si>
  <si>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</si>
  <si>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</si>
  <si>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</si>
  <si>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</si>
  <si>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</si>
  <si>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</si>
  <si>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</si>
  <si>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</si>
  <si>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</si>
  <si>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</si>
  <si>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</si>
  <si>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</si>
  <si>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</si>
  <si>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</si>
  <si>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</si>
  <si>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</si>
  <si>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</si>
  <si>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</si>
  <si>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</si>
  <si>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</si>
  <si>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</si>
  <si>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</si>
  <si>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</si>
  <si>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</si>
  <si>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</si>
  <si>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</si>
  <si>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</si>
  <si>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</si>
  <si>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</si>
  <si>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</si>
  <si>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</si>
  <si>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</si>
  <si>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</si>
  <si>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</si>
  <si>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</si>
  <si>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</si>
  <si>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</si>
  <si>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</si>
  <si>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</si>
  <si>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</si>
  <si>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</si>
  <si>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</si>
  <si>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</si>
  <si>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</si>
  <si>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</si>
  <si>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</si>
  <si>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</si>
  <si>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</si>
  <si>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</si>
  <si>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</si>
  <si>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</si>
  <si>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</si>
  <si>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</si>
  <si>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</si>
  <si>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</si>
  <si>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</si>
  <si>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</si>
  <si>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</si>
  <si>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</si>
  <si>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</si>
  <si>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</si>
  <si>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</si>
  <si>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</si>
  <si>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</si>
  <si>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</si>
  <si>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</si>
  <si>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</si>
  <si>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</si>
  <si>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</si>
  <si>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</si>
  <si>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</si>
  <si>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</si>
  <si>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</si>
  <si>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</si>
  <si>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</si>
  <si>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</si>
  <si>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</si>
  <si>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</si>
  <si>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</si>
  <si>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</si>
  <si>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</si>
  <si>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</si>
  <si>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</si>
  <si>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</si>
  <si>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</si>
  <si>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</si>
  <si>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</si>
  <si>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</si>
  <si>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</si>
  <si>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</si>
  <si>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</si>
  <si>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</si>
  <si>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</si>
  <si>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</si>
  <si>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</si>
  <si>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</si>
  <si>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</si>
  <si>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</si>
  <si>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</si>
  <si>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</si>
  <si>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</si>
  <si>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</si>
  <si>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</si>
  <si>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</si>
  <si>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</si>
  <si>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</si>
  <si>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</si>
  <si>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</si>
  <si>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</si>
  <si>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</si>
  <si>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</si>
  <si>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</si>
  <si>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</si>
  <si>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</si>
  <si>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</si>
  <si>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</si>
  <si>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</si>
  <si>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</si>
  <si>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</si>
  <si>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</si>
  <si>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</si>
  <si>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</si>
  <si>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</si>
  <si>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</si>
  <si>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</si>
  <si>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</si>
  <si>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</si>
  <si>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</si>
  <si>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</si>
  <si>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</si>
  <si>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</si>
  <si>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</si>
  <si>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</si>
  <si>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</si>
  <si>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</si>
  <si>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</si>
  <si>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</si>
  <si>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</si>
  <si>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</si>
  <si>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</si>
  <si>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</si>
  <si>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</si>
  <si>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</si>
  <si>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</si>
  <si>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</si>
  <si>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</si>
  <si>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</si>
  <si>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</si>
  <si>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</si>
  <si>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</si>
  <si>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</si>
  <si>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</si>
  <si>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</si>
  <si>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</si>
  <si>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</si>
  <si>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</si>
  <si>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</si>
  <si>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</si>
  <si>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</si>
  <si>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</si>
  <si>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</si>
  <si>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</si>
  <si>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</si>
  <si>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</si>
  <si>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</si>
  <si>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</si>
  <si>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</si>
  <si>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</si>
  <si>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</si>
  <si>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</si>
  <si>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</si>
  <si>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</si>
  <si>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</si>
  <si>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</si>
  <si>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</si>
  <si>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</si>
  <si>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</si>
  <si>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</si>
  <si>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</si>
  <si>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</si>
  <si>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</si>
  <si>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</si>
  <si>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</si>
  <si>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</si>
  <si>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</si>
  <si>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</si>
  <si>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</si>
  <si>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</si>
  <si>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</si>
  <si>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</si>
  <si>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</si>
  <si>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</si>
  <si>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</si>
  <si>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</si>
  <si>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</si>
  <si>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</si>
  <si>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</si>
  <si>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</si>
  <si>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</si>
  <si>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</si>
  <si>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</si>
  <si>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</si>
  <si>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</si>
  <si>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</si>
  <si>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</si>
  <si>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</si>
  <si>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</si>
  <si>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</si>
  <si>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</si>
  <si>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</si>
  <si>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</si>
  <si>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</si>
  <si>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</si>
  <si>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</si>
  <si>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</si>
  <si>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</si>
  <si>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</si>
  <si>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</si>
  <si>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</si>
  <si>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</si>
  <si>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</si>
  <si>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</si>
  <si>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</si>
  <si>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</si>
  <si>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</si>
  <si>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</si>
  <si>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</si>
  <si>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</si>
  <si>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</si>
  <si>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</si>
  <si>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</si>
  <si>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</si>
  <si>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</si>
  <si>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</si>
  <si>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</si>
  <si>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</si>
  <si>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</si>
  <si>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</si>
  <si>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</si>
  <si>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</si>
  <si>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</si>
  <si>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</si>
  <si>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</si>
  <si>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</si>
  <si>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</si>
  <si>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</si>
  <si>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</si>
  <si>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</si>
  <si>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</si>
  <si>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</si>
  <si>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</si>
  <si>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</si>
  <si>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</si>
  <si>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</si>
  <si>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</si>
  <si>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</si>
  <si>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</si>
  <si>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</si>
  <si>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</si>
  <si>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</si>
  <si>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</si>
  <si>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</si>
  <si>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</si>
  <si>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</si>
  <si>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</si>
  <si>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</si>
  <si>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</si>
  <si>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</si>
  <si>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</si>
  <si>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</si>
  <si>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</si>
  <si>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</si>
  <si>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</si>
  <si>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</si>
  <si>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</si>
  <si>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</si>
  <si>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</si>
  <si>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</si>
  <si>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</si>
  <si>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</si>
  <si>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</si>
  <si>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</si>
  <si>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</si>
  <si>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</si>
  <si>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</si>
  <si>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</si>
  <si>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</si>
  <si>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</si>
  <si>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</si>
  <si>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</si>
  <si>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</si>
  <si>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</si>
  <si>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</si>
  <si>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</si>
  <si>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</si>
  <si>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</si>
  <si>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</si>
  <si>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</si>
  <si>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</si>
  <si>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</si>
  <si>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</si>
  <si>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</si>
  <si>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</si>
  <si>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</si>
  <si>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</si>
  <si>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</si>
  <si>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</si>
  <si>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</si>
  <si>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</si>
  <si>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</si>
  <si>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</si>
  <si>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</si>
  <si>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</si>
  <si>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</si>
  <si>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</si>
  <si>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</si>
  <si>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</si>
  <si>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</si>
  <si>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</si>
  <si>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</si>
  <si>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</si>
  <si>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</si>
  <si>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</si>
  <si>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</si>
  <si>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</si>
  <si>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</si>
  <si>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</si>
  <si>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</si>
  <si>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</si>
  <si>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</si>
  <si>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</si>
  <si>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</si>
  <si>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</si>
  <si>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</si>
  <si>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</si>
  <si>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</si>
  <si>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</si>
  <si>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</si>
  <si>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</si>
  <si>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</si>
  <si>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</si>
  <si>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</si>
  <si>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</si>
  <si>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</si>
  <si>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</si>
  <si>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</si>
  <si>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</si>
  <si>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</si>
  <si>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</si>
  <si>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</si>
  <si>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</si>
  <si>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</si>
  <si>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</si>
  <si>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</si>
  <si>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</si>
  <si>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</si>
  <si>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</si>
  <si>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</si>
  <si>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</si>
  <si>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</si>
  <si>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</si>
  <si>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</si>
  <si>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</si>
  <si>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</si>
  <si>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</si>
  <si>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</si>
  <si>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</si>
  <si>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</si>
  <si>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</si>
  <si>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</si>
  <si>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</si>
  <si>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</si>
  <si>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</si>
  <si>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</si>
  <si>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</si>
  <si>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</si>
  <si>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</si>
  <si>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</si>
  <si>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</si>
  <si>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</si>
  <si>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</si>
  <si>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</si>
  <si>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</si>
  <si>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</si>
  <si>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</si>
  <si>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</si>
  <si>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</si>
  <si>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</si>
  <si>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</si>
  <si>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</si>
  <si>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</si>
  <si>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</si>
  <si>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</si>
  <si>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</si>
  <si>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</si>
  <si>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</si>
  <si>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</si>
  <si>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</si>
  <si>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</si>
  <si>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</si>
  <si>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</si>
  <si>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</si>
  <si>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</si>
  <si>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</si>
  <si>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</si>
  <si>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</si>
  <si>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</si>
  <si>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</si>
  <si>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</si>
  <si>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</si>
  <si>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</si>
  <si>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</si>
  <si>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</si>
  <si>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</si>
  <si>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</si>
  <si>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</si>
  <si>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</si>
  <si>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</si>
  <si>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</si>
  <si>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</si>
  <si>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</si>
  <si>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</si>
  <si>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</si>
  <si>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</si>
  <si>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</si>
  <si>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</si>
  <si>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</si>
  <si>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</si>
  <si>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</si>
  <si>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</si>
  <si>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</si>
  <si>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</si>
  <si>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</si>
  <si>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</si>
  <si>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</si>
  <si>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</si>
  <si>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</si>
  <si>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</si>
  <si>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</si>
  <si>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</si>
  <si>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</si>
  <si>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</si>
  <si>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</si>
  <si>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</si>
  <si>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</si>
  <si>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</si>
  <si>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</si>
  <si>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</si>
  <si>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</si>
  <si>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</si>
  <si>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</si>
  <si>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</si>
  <si>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</si>
  <si>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</si>
  <si>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</si>
  <si>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</si>
  <si>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</si>
  <si>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</si>
  <si>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</si>
  <si>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</si>
  <si>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</si>
  <si>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</si>
  <si>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</si>
  <si>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</si>
  <si>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</si>
  <si>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</si>
  <si>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</si>
  <si>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</si>
  <si>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</si>
  <si>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</si>
  <si>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</si>
  <si>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</si>
  <si>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</si>
  <si>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</si>
  <si>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</si>
  <si>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</si>
  <si>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</si>
  <si>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</si>
  <si>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</si>
  <si>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</si>
  <si>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</si>
  <si>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</si>
  <si>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</si>
  <si>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</si>
  <si>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</si>
  <si>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</si>
  <si>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</si>
  <si>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</si>
  <si>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</si>
  <si>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</si>
  <si>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</si>
  <si>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</si>
  <si>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</si>
  <si>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</si>
  <si>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</si>
  <si>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</si>
  <si>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</si>
  <si>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</si>
  <si>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</si>
  <si>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</si>
  <si>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</si>
  <si>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</si>
  <si>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</si>
  <si>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</si>
  <si>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</si>
  <si>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</si>
  <si>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</si>
  <si>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</si>
  <si>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</si>
  <si>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</si>
  <si>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</si>
  <si>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</si>
  <si>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</si>
  <si>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</si>
  <si>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</si>
  <si>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</si>
  <si>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</si>
  <si>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</si>
  <si>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</si>
  <si>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</si>
  <si>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</si>
  <si>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</si>
  <si>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</si>
  <si>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</si>
  <si>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</si>
  <si>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</si>
  <si>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</si>
  <si>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</si>
  <si>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</si>
  <si>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</si>
  <si>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</si>
  <si>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</si>
  <si>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</si>
  <si>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</si>
  <si>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</si>
  <si>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</si>
  <si>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</si>
  <si>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</si>
  <si>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</si>
  <si>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</si>
  <si>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</si>
  <si>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</si>
  <si>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</si>
  <si>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</si>
  <si>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</si>
  <si>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</si>
  <si>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</si>
  <si>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</si>
  <si>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</si>
  <si>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</si>
  <si>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</si>
  <si>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</si>
  <si>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</si>
  <si>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</si>
  <si>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</si>
  <si>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</si>
  <si>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</si>
  <si>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</si>
  <si>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</si>
  <si>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</si>
  <si>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</si>
  <si>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</si>
  <si>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</si>
  <si>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</si>
  <si>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</si>
  <si>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</si>
  <si>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</si>
  <si>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</si>
  <si>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</si>
  <si>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</si>
  <si>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</si>
  <si>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</si>
  <si>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</si>
  <si>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</si>
  <si>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</si>
  <si>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</si>
  <si>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</si>
  <si>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</si>
  <si>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</si>
  <si>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</si>
  <si>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</si>
  <si>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</si>
  <si>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</si>
  <si>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</si>
  <si>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</si>
  <si>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</si>
  <si>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</si>
  <si>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</si>
  <si>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</si>
  <si>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</si>
  <si>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</si>
  <si>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</si>
  <si>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</si>
  <si>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</si>
  <si>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</si>
  <si>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</si>
  <si>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</si>
  <si>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</si>
  <si>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</si>
  <si>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</si>
  <si>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</si>
  <si>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</si>
  <si>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</si>
  <si>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</si>
  <si>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</si>
  <si>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</si>
  <si>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</si>
  <si>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</si>
  <si>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</si>
  <si>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</si>
  <si>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</si>
  <si>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</si>
  <si>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</si>
  <si>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</si>
  <si>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</si>
  <si>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</si>
  <si>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</si>
  <si>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</si>
  <si>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</si>
  <si>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</si>
  <si>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</si>
  <si>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</si>
  <si>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</si>
  <si>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</si>
  <si>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</si>
  <si>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</si>
  <si>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</si>
  <si>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</si>
  <si>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</si>
  <si>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</si>
  <si>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</si>
  <si>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</si>
  <si>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</si>
  <si>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</si>
  <si>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</si>
  <si>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</si>
  <si>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</si>
  <si>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</si>
  <si>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</si>
  <si>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</si>
  <si>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</si>
  <si>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</si>
  <si>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</si>
  <si>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</si>
  <si>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</si>
  <si>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</si>
  <si>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</si>
  <si>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</si>
  <si>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</si>
  <si>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</si>
  <si>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</si>
  <si>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</si>
  <si>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</si>
  <si>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</si>
  <si>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</si>
  <si>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</si>
  <si>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</si>
  <si>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</si>
  <si>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</si>
  <si>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</si>
  <si>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</si>
  <si>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</si>
  <si>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</si>
  <si>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</si>
  <si>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</si>
  <si>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</si>
  <si>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</si>
  <si>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</si>
  <si>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</si>
  <si>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</si>
  <si>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</si>
  <si>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</si>
  <si>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</si>
  <si>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</si>
  <si>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</si>
  <si>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</si>
  <si>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</si>
  <si>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</si>
  <si>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</si>
  <si>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</si>
  <si>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</si>
  <si>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</si>
  <si>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</si>
  <si>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</si>
  <si>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</si>
  <si>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</si>
  <si>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</si>
  <si>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</si>
  <si>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</si>
  <si>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</si>
  <si>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</si>
  <si>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</si>
  <si>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</si>
  <si>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</si>
  <si>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</si>
  <si>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</si>
  <si>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</si>
  <si>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</si>
  <si>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</si>
  <si>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</si>
  <si>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</si>
  <si>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</si>
  <si>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</si>
  <si>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</si>
  <si>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</si>
  <si>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</si>
  <si>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</si>
  <si>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</si>
  <si>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</si>
  <si>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</si>
  <si>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</si>
  <si>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</si>
  <si>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</si>
  <si>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</si>
  <si>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</si>
  <si>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</si>
  <si>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</si>
  <si>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</si>
  <si>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</si>
  <si>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</si>
  <si>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</si>
  <si>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</si>
  <si>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</si>
  <si>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</si>
  <si>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</si>
  <si>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</si>
  <si>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</si>
  <si>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</si>
  <si>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</si>
  <si>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</si>
  <si>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</si>
  <si>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</si>
  <si>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</si>
  <si>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</si>
  <si>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</si>
  <si>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</si>
  <si>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</si>
  <si>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</si>
  <si>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</si>
  <si>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</si>
  <si>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</si>
  <si>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</si>
  <si>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</si>
  <si>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</si>
  <si>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</si>
  <si>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</si>
  <si>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</si>
  <si>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</si>
  <si>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</si>
  <si>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</si>
  <si>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</si>
  <si>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</si>
  <si>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</si>
  <si>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</si>
  <si>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</si>
  <si>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</si>
  <si>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</si>
  <si>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</si>
  <si>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</si>
  <si>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</si>
  <si>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</si>
  <si>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</si>
  <si>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</si>
  <si>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</si>
  <si>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</si>
  <si>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</si>
  <si>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</si>
  <si>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</si>
  <si>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</si>
  <si>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</si>
  <si>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</si>
  <si>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</si>
  <si>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</si>
  <si>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</si>
  <si>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</si>
  <si>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</si>
  <si>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</si>
  <si>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</si>
  <si>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</si>
  <si>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</si>
  <si>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</si>
  <si>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</si>
  <si>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</si>
  <si>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</si>
  <si>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</si>
  <si>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</si>
  <si>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</si>
  <si>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</si>
  <si>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</si>
  <si>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</si>
  <si>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</si>
  <si>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</si>
  <si>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</si>
  <si>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</si>
  <si>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</si>
  <si>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</si>
  <si>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</si>
  <si>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</si>
  <si>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</si>
  <si>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</si>
  <si>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</si>
  <si>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</si>
  <si>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</si>
  <si>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</si>
  <si>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</si>
  <si>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</si>
  <si>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</si>
  <si>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</si>
  <si>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</si>
  <si>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</si>
  <si>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</si>
  <si>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</si>
  <si>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</si>
  <si>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</si>
  <si>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</si>
  <si>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</si>
  <si>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</si>
  <si>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</si>
  <si>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</si>
  <si>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</si>
  <si>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</si>
  <si>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</si>
  <si>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</si>
  <si>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</si>
  <si>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</si>
  <si>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</si>
  <si>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</si>
  <si>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</si>
  <si>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</si>
  <si>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</si>
  <si>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</si>
  <si>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</si>
  <si>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</si>
  <si>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</si>
  <si>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</si>
  <si>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</si>
  <si>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</si>
  <si>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</si>
  <si>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</si>
  <si>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</si>
  <si>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</si>
  <si>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</si>
  <si>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</si>
  <si>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</si>
  <si>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</si>
  <si>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</si>
  <si>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</si>
  <si>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</si>
  <si>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</si>
  <si>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</si>
  <si>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</si>
  <si>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</si>
  <si>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</si>
  <si>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</si>
  <si>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</si>
  <si>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</si>
  <si>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</si>
  <si>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</si>
  <si>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</si>
  <si>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</si>
  <si>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</si>
  <si>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</si>
  <si>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</si>
  <si>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</si>
  <si>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</si>
  <si>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</si>
  <si>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</si>
  <si>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</si>
  <si>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</si>
  <si>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</si>
  <si>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</si>
  <si>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</si>
  <si>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</si>
  <si>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</si>
  <si>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</si>
  <si>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</si>
  <si>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</si>
  <si>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</si>
  <si>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</si>
  <si>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</si>
  <si>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</si>
  <si>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</si>
  <si>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</si>
  <si>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</si>
  <si>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</si>
  <si>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</si>
  <si>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</si>
  <si>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</si>
  <si>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</si>
  <si>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</si>
  <si>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</si>
  <si>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</si>
  <si>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</si>
  <si>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</si>
  <si>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</si>
  <si>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</si>
  <si>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</si>
  <si>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</si>
  <si>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</si>
  <si>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</si>
  <si>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</si>
  <si>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</si>
  <si>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</si>
  <si>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</si>
  <si>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</si>
  <si>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</si>
  <si>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</si>
  <si>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</si>
  <si>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</si>
  <si>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</si>
  <si>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</si>
  <si>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</si>
  <si>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</si>
  <si>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</si>
  <si>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</si>
  <si>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</si>
  <si>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</si>
  <si>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</si>
  <si>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</si>
  <si>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</si>
  <si>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</si>
  <si>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</si>
  <si>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</si>
  <si>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</si>
  <si>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</si>
  <si>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</si>
  <si>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</si>
  <si>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</si>
  <si>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</si>
  <si>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</si>
  <si>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</si>
  <si>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</si>
  <si>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</si>
  <si>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</si>
  <si>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</si>
  <si>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</si>
  <si>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</si>
  <si>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</si>
  <si>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</si>
  <si>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</si>
  <si>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</si>
  <si>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</si>
  <si>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</si>
  <si>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</si>
  <si>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</si>
  <si>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</si>
  <si>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</si>
  <si>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</si>
  <si>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</si>
  <si>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</si>
  <si>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</si>
  <si>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</si>
  <si>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</si>
  <si>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</si>
  <si>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</si>
  <si>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</si>
  <si>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</si>
  <si>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</si>
  <si>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</si>
  <si>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</si>
  <si>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</si>
  <si>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</si>
  <si>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</si>
  <si>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</si>
  <si>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</si>
  <si>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</si>
  <si>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</si>
  <si>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</si>
  <si>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</si>
  <si>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</si>
  <si>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</si>
  <si>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</si>
  <si>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</si>
  <si>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</si>
  <si>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</si>
  <si>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</si>
  <si>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</si>
  <si>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</si>
  <si>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</si>
  <si>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</si>
  <si>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</si>
  <si>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</si>
  <si>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</si>
  <si>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</si>
  <si>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</si>
  <si>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</si>
  <si>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</si>
  <si>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</si>
  <si>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</si>
  <si>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</si>
  <si>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</si>
  <si>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</si>
  <si>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</si>
  <si>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</si>
  <si>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</si>
  <si>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</si>
  <si>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</si>
  <si>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</si>
  <si>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</si>
  <si>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</si>
  <si>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</si>
  <si>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</si>
  <si>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</si>
  <si>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</si>
  <si>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</si>
  <si>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</si>
  <si>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</si>
  <si>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</si>
  <si>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</si>
  <si>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</si>
  <si>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</si>
  <si>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</si>
  <si>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</si>
  <si>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</si>
  <si>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</si>
  <si>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</si>
  <si>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</si>
  <si>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</si>
  <si>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</si>
  <si>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</si>
  <si>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</si>
  <si>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</si>
  <si>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</si>
  <si>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</si>
  <si>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</si>
  <si>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</si>
  <si>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</si>
  <si>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</si>
  <si>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</si>
  <si>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</si>
  <si>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</si>
  <si>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</si>
  <si>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</si>
  <si>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</si>
  <si>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</si>
  <si>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</si>
  <si>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</si>
  <si>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</si>
  <si>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</si>
  <si>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</si>
  <si>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</si>
  <si>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</si>
  <si>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</si>
  <si>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</si>
  <si>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</si>
  <si>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</si>
  <si>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</si>
  <si>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</si>
  <si>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</si>
  <si>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</si>
  <si>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</si>
  <si>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</si>
  <si>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</si>
  <si>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</si>
  <si>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</si>
  <si>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</si>
  <si>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</si>
  <si>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</si>
  <si>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</si>
  <si>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</si>
  <si>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</si>
  <si>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</si>
  <si>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</si>
  <si>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</si>
  <si>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</si>
  <si>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</si>
  <si>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</si>
  <si>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</si>
  <si>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</si>
  <si>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</si>
  <si>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</si>
  <si>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</si>
  <si>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</si>
  <si>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</si>
  <si>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</si>
  <si>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</si>
  <si>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</si>
  <si>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</si>
  <si>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</si>
  <si>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</si>
  <si>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</si>
  <si>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</si>
  <si>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</si>
  <si>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</si>
  <si>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</si>
  <si>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</si>
  <si>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</si>
  <si>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</si>
  <si>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</si>
  <si>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</si>
  <si>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</si>
  <si>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</si>
  <si>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</si>
  <si>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</si>
  <si>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</si>
  <si>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</si>
  <si>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</si>
  <si>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</si>
  <si>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</si>
  <si>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</si>
  <si>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</si>
  <si>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</si>
  <si>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</si>
  <si>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</si>
  <si>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</si>
  <si>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</si>
  <si>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</si>
  <si>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</si>
  <si>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</si>
  <si>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</si>
  <si>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</si>
  <si>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</si>
  <si>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</si>
  <si>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</si>
  <si>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</si>
  <si>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</si>
  <si>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</si>
  <si>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</si>
  <si>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</si>
  <si>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</si>
  <si>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</si>
  <si>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</si>
  <si>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</si>
  <si>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</si>
  <si>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</si>
  <si>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</si>
  <si>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</si>
  <si>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</si>
  <si>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</si>
  <si>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</si>
  <si>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</si>
  <si>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</si>
  <si>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</si>
  <si>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</si>
  <si>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</si>
  <si>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</si>
  <si>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</si>
  <si>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</si>
  <si>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</si>
  <si>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</si>
  <si>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</si>
  <si>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</si>
  <si>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</si>
  <si>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</si>
  <si>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</si>
  <si>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</si>
  <si>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</si>
  <si>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</si>
  <si>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</si>
  <si>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</si>
  <si>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</si>
  <si>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</si>
  <si>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</si>
  <si>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</si>
  <si>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</si>
  <si>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</si>
  <si>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</si>
  <si>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</si>
  <si>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</si>
  <si>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</si>
  <si>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</si>
  <si>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</si>
  <si>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</si>
  <si>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</si>
  <si>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</si>
  <si>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</si>
  <si>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</si>
  <si>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</si>
  <si>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</si>
  <si>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</si>
  <si>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</si>
  <si>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</si>
  <si>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</si>
  <si>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</si>
  <si>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</si>
  <si>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</si>
  <si>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</si>
  <si>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</si>
  <si>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</si>
  <si>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</si>
  <si>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</si>
  <si>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</si>
  <si>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</si>
  <si>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</si>
  <si>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</si>
  <si>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</si>
  <si>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</si>
  <si>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</si>
  <si>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</si>
  <si>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</si>
  <si>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</si>
  <si>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</si>
  <si>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</si>
  <si>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</si>
  <si>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</si>
  <si>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</si>
  <si>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</si>
  <si>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</si>
  <si>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</si>
  <si>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</si>
  <si>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</si>
  <si>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</si>
  <si>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</si>
  <si>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</si>
  <si>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</si>
  <si>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</si>
  <si>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</si>
  <si>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</si>
  <si>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</si>
  <si>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</si>
  <si>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</si>
  <si>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</si>
  <si>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</si>
  <si>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</si>
  <si>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</si>
  <si>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</si>
  <si>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</si>
  <si>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</si>
  <si>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</si>
  <si>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</si>
  <si>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</si>
  <si>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</si>
  <si>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</si>
  <si>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</si>
  <si>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</si>
  <si>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</si>
  <si>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</si>
  <si>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</si>
  <si>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</si>
  <si>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</si>
  <si>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</si>
  <si>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</si>
  <si>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</si>
  <si>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</si>
  <si>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</si>
  <si>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</si>
  <si>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</si>
  <si>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</si>
  <si>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</si>
  <si>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</si>
  <si>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</si>
  <si>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</si>
  <si>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</si>
  <si>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</si>
  <si>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</si>
  <si>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</si>
  <si>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</si>
  <si>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</si>
  <si>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</si>
  <si>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</si>
  <si>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</si>
  <si>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</si>
  <si>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</si>
  <si>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</si>
  <si>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</si>
  <si>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</si>
  <si>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</si>
  <si>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</si>
  <si>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</si>
  <si>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</si>
  <si>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</si>
  <si>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</si>
  <si>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</si>
  <si>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</si>
  <si>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</si>
  <si>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</si>
  <si>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</si>
  <si>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</si>
  <si>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</si>
  <si>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</si>
  <si>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</si>
  <si>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</si>
  <si>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</si>
  <si>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</si>
  <si>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</si>
  <si>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</si>
  <si>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</si>
  <si>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</si>
  <si>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</si>
  <si>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</si>
  <si>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</si>
  <si>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</si>
  <si>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</si>
  <si>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</si>
  <si>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</si>
  <si>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</si>
  <si>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</si>
  <si>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</si>
  <si>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</si>
  <si>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</si>
  <si>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</si>
  <si>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</si>
  <si>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</si>
  <si>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</si>
  <si>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</si>
  <si>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</si>
  <si>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</si>
  <si>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</si>
  <si>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</si>
  <si>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</si>
  <si>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</si>
  <si>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</si>
  <si>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</si>
  <si>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</si>
  <si>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</si>
  <si>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</si>
  <si>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</si>
  <si>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</si>
  <si>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</si>
  <si>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</si>
  <si>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</si>
  <si>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</si>
  <si>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</si>
  <si>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</si>
  <si>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</si>
  <si>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</si>
  <si>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</si>
  <si>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</si>
  <si>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</si>
  <si>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</si>
  <si>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</si>
  <si>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</si>
  <si>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</si>
  <si>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</si>
  <si>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</si>
  <si>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</si>
  <si>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</si>
  <si>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</si>
  <si>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</si>
  <si>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</si>
  <si>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</si>
  <si>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</si>
  <si>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</si>
  <si>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</si>
  <si>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</si>
  <si>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</si>
  <si>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</si>
  <si>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</si>
  <si>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</si>
  <si>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</si>
  <si>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</si>
  <si>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</si>
  <si>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</si>
  <si>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</si>
  <si>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</si>
  <si>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</si>
  <si>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</si>
  <si>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</si>
  <si>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</si>
  <si>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</si>
  <si>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</si>
  <si>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</si>
  <si>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</si>
  <si>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</si>
  <si>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</si>
  <si>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</si>
  <si>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</si>
  <si>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</si>
  <si>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</si>
  <si>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</si>
  <si>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</si>
  <si>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</si>
  <si>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</si>
  <si>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</si>
  <si>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</si>
  <si>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</si>
  <si>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</si>
  <si>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</si>
  <si>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</si>
  <si>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</si>
  <si>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</si>
  <si>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</si>
  <si>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</si>
  <si>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</si>
  <si>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</si>
  <si>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</si>
  <si>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</si>
  <si>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</si>
  <si>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</si>
  <si>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</si>
  <si>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</si>
  <si>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</si>
  <si>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</si>
  <si>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</si>
  <si>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</si>
  <si>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</si>
  <si>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</si>
  <si>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</si>
  <si>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</si>
  <si>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</si>
  <si>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</si>
  <si>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</si>
  <si>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</si>
  <si>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</si>
  <si>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</si>
  <si>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</si>
  <si>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</si>
  <si>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</si>
  <si>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</si>
  <si>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</si>
  <si>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</si>
  <si>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</si>
  <si>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</si>
  <si>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</si>
  <si>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</si>
  <si>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</si>
  <si>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</si>
  <si>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</si>
  <si>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</si>
  <si>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</si>
  <si>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</si>
  <si>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</si>
  <si>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</si>
  <si>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</si>
  <si>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</si>
  <si>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</si>
  <si>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</si>
  <si>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</si>
  <si>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</si>
  <si>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</si>
  <si>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</si>
  <si>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</si>
  <si>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</si>
  <si>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</si>
  <si>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</si>
  <si>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</si>
  <si>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</si>
  <si>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</si>
  <si>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</si>
  <si>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</si>
  <si>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</si>
  <si>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</si>
  <si>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</si>
  <si>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</si>
  <si>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</si>
  <si>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</si>
  <si>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</si>
  <si>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</si>
  <si>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</si>
  <si>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</si>
  <si>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</si>
  <si>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</si>
  <si>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</si>
  <si>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</si>
  <si>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</si>
  <si>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</si>
  <si>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</si>
  <si>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</si>
  <si>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</si>
  <si>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</si>
  <si>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</si>
  <si>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</si>
  <si>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</si>
  <si>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</si>
  <si>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</si>
  <si>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</si>
  <si>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</si>
  <si>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</si>
  <si>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</si>
  <si>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</si>
  <si>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</si>
  <si>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</si>
  <si>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</si>
  <si>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</si>
  <si>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</si>
  <si>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</si>
  <si>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</si>
  <si>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</si>
  <si>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</si>
  <si>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</si>
  <si>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</si>
  <si>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</si>
  <si>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</si>
  <si>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</si>
  <si>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</si>
  <si>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</si>
  <si>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</si>
  <si>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</si>
  <si>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</si>
  <si>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</si>
  <si>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</si>
  <si>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</si>
  <si>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</si>
  <si>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</si>
  <si>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</si>
  <si>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</si>
  <si>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</si>
  <si>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</si>
  <si>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</si>
  <si>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</si>
  <si>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</si>
  <si>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</si>
  <si>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</si>
  <si>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</si>
  <si>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</si>
  <si>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</si>
  <si>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</si>
  <si>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</si>
  <si>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</si>
  <si>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</si>
  <si>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</si>
  <si>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</si>
  <si>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</si>
  <si>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</si>
  <si>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</si>
  <si>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</si>
  <si>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</si>
  <si>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</si>
  <si>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</si>
  <si>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</si>
  <si>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</si>
  <si>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</si>
  <si>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</si>
  <si>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</si>
  <si>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</si>
  <si>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</si>
  <si>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</si>
  <si>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</si>
  <si>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</si>
  <si>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</si>
  <si>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</si>
  <si>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</si>
  <si>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</si>
  <si>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</si>
  <si>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</si>
  <si>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</si>
  <si>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</si>
  <si>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</si>
  <si>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</si>
  <si>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</si>
  <si>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</si>
  <si>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</si>
  <si>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</si>
  <si>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</si>
  <si>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</si>
  <si>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</si>
  <si>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</si>
  <si>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</si>
  <si>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</si>
  <si>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</si>
  <si>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</si>
  <si>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</si>
  <si>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</si>
  <si>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</si>
  <si>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</si>
  <si>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</si>
  <si>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</si>
  <si>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</si>
  <si>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</si>
  <si>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</si>
  <si>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</si>
  <si>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</si>
  <si>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</si>
  <si>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</si>
  <si>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</si>
  <si>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</si>
  <si>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</si>
  <si>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</si>
  <si>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</si>
  <si>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</si>
  <si>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</si>
  <si>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</si>
  <si>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</si>
  <si>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</si>
  <si>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</si>
  <si>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</si>
  <si>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</si>
  <si>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</si>
  <si>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</si>
  <si>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</si>
  <si>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</si>
  <si>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</si>
  <si>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</si>
  <si>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</si>
  <si>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</si>
  <si>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</si>
  <si>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</si>
  <si>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</si>
  <si>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</si>
  <si>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</si>
  <si>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</si>
  <si>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</si>
  <si>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</si>
  <si>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</si>
  <si>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</si>
  <si>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</si>
  <si>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</si>
  <si>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</si>
  <si>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</si>
  <si>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</si>
  <si>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</si>
  <si>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</si>
  <si>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</si>
  <si>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</si>
  <si>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</si>
  <si>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</si>
  <si>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</si>
  <si>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</si>
  <si>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</si>
  <si>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</si>
  <si>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</si>
  <si>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</si>
  <si>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</si>
  <si>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</si>
  <si>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</si>
  <si>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</si>
  <si>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</si>
  <si>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</si>
  <si>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</si>
  <si>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</si>
  <si>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</si>
  <si>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</si>
  <si>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</si>
  <si>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</si>
  <si>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</si>
  <si>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</si>
  <si>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</si>
  <si>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</si>
  <si>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</si>
  <si>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</si>
  <si>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</si>
  <si>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</si>
  <si>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</si>
  <si>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</si>
  <si>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</si>
  <si>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</si>
  <si>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</si>
  <si>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</si>
  <si>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</si>
  <si>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</si>
  <si>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</si>
  <si>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</si>
  <si>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</si>
  <si>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</si>
  <si>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</si>
  <si>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</si>
  <si>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</si>
  <si>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</si>
  <si>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</si>
  <si>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</si>
  <si>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</si>
  <si>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</si>
  <si>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</si>
  <si>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</si>
  <si>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</si>
  <si>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</si>
  <si>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</si>
  <si>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</si>
  <si>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</si>
  <si>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</si>
  <si>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</si>
  <si>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</si>
  <si>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</si>
  <si>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</si>
  <si>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</si>
  <si>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</si>
  <si>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</si>
  <si>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</si>
  <si>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</si>
  <si>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</si>
  <si>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</si>
  <si>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</si>
  <si>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</si>
  <si>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</si>
  <si>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</si>
  <si>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</si>
  <si>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</si>
  <si>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</si>
  <si>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</si>
  <si>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</si>
  <si>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</si>
  <si>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</si>
  <si>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</si>
  <si>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</si>
  <si>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</si>
  <si>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</si>
  <si>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</si>
  <si>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</si>
  <si>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</si>
  <si>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</si>
  <si>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</si>
  <si>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</si>
  <si>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</si>
  <si>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</si>
  <si>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</si>
  <si>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</si>
  <si>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</si>
  <si>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</si>
  <si>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</si>
  <si>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</si>
  <si>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</si>
  <si>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</si>
  <si>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</si>
  <si>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</si>
  <si>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</si>
  <si>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</si>
  <si>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</si>
  <si>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</si>
  <si>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</si>
  <si>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</si>
  <si>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</si>
  <si>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</si>
  <si>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</si>
  <si>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</si>
  <si>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</si>
  <si>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</si>
  <si>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</si>
  <si>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</si>
  <si>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</si>
  <si>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</si>
  <si>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</si>
  <si>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</si>
  <si>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</si>
  <si>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</si>
  <si>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</si>
  <si>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</si>
  <si>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</si>
  <si>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</si>
  <si>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</si>
  <si>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</si>
  <si>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</si>
  <si>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</si>
  <si>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</si>
  <si>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</si>
  <si>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</si>
  <si>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</si>
  <si>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</si>
  <si>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</si>
  <si>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</si>
  <si>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</si>
  <si>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</si>
  <si>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</si>
  <si>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</si>
  <si>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</si>
  <si>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</si>
  <si>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</si>
  <si>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</si>
  <si>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</si>
  <si>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</si>
  <si>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</si>
  <si>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</si>
  <si>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</si>
  <si>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</si>
  <si>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</si>
  <si>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</si>
  <si>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</si>
  <si>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</si>
  <si>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</si>
  <si>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</si>
  <si>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</si>
  <si>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</si>
  <si>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</si>
  <si>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</si>
  <si>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</si>
  <si>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</si>
  <si>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</si>
  <si>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</si>
  <si>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</si>
  <si>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</si>
  <si>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</si>
  <si>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</si>
  <si>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</si>
  <si>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</si>
  <si>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</si>
  <si>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</si>
  <si>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</si>
  <si>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</si>
  <si>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</si>
  <si>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</si>
  <si>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</si>
  <si>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</si>
  <si>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</si>
  <si>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</si>
  <si>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</si>
  <si>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</si>
  <si>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</si>
  <si>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</si>
  <si>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</si>
  <si>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</si>
  <si>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</si>
  <si>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</si>
  <si>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</si>
  <si>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</si>
  <si>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</si>
  <si>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</si>
  <si>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</si>
  <si>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</si>
  <si>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</si>
  <si>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</si>
  <si>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</si>
  <si>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</si>
  <si>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</si>
  <si>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</si>
  <si>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</si>
  <si>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</si>
  <si>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</si>
  <si>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</si>
  <si>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</si>
  <si>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</si>
  <si>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</si>
  <si>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</si>
  <si>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</si>
  <si>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</si>
  <si>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</si>
  <si>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</si>
  <si>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</si>
  <si>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</si>
  <si>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</si>
  <si>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</si>
  <si>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</si>
  <si>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</si>
  <si>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</si>
  <si>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</si>
  <si>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</si>
  <si>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</si>
  <si>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</si>
  <si>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</si>
  <si>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</si>
  <si>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</si>
  <si>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</si>
  <si>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</si>
  <si>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</si>
  <si>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</si>
  <si>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</si>
  <si>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</si>
  <si>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</si>
  <si>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</si>
  <si>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</si>
  <si>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</si>
  <si>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</si>
  <si>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</si>
  <si>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</si>
  <si>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</si>
  <si>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</si>
  <si>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</si>
  <si>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</si>
  <si>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</si>
  <si>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</si>
  <si>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</si>
  <si>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</si>
  <si>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</si>
  <si>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</si>
  <si>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</si>
  <si>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</si>
  <si>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</si>
  <si>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</si>
  <si>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</si>
  <si>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</si>
  <si>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</si>
  <si>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</si>
  <si>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</si>
  <si>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</si>
  <si>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</si>
  <si>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</si>
  <si>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</si>
  <si>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</si>
  <si>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</si>
  <si>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</si>
  <si>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</si>
  <si>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</si>
  <si>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</si>
  <si>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</si>
  <si>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</si>
  <si>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</si>
  <si>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</si>
  <si>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</si>
  <si>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</si>
  <si>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</si>
  <si>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</si>
  <si>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</si>
  <si>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</si>
  <si>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</si>
  <si>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</si>
  <si>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</si>
  <si>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</si>
  <si>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</si>
  <si>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</si>
  <si>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</si>
  <si>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</si>
  <si>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</si>
  <si>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</si>
  <si>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</si>
  <si>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</si>
  <si>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</si>
  <si>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</si>
  <si>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</si>
  <si>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</si>
  <si>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</si>
  <si>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</si>
  <si>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</si>
  <si>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</si>
  <si>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</si>
  <si>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</si>
  <si>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</si>
  <si>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</si>
  <si>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</si>
  <si>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</si>
  <si>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</si>
  <si>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</si>
  <si>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</si>
  <si>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</si>
  <si>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</si>
  <si>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</si>
  <si>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</si>
  <si>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</si>
  <si>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</si>
  <si>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</si>
  <si>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</si>
  <si>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</si>
  <si>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</si>
  <si>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</si>
  <si>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</si>
  <si>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</si>
  <si>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</si>
  <si>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</si>
  <si>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</si>
  <si>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</si>
  <si>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</si>
  <si>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</si>
  <si>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</si>
  <si>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</si>
  <si>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</si>
  <si>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</si>
  <si>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</si>
  <si>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</si>
  <si>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</si>
  <si>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</si>
  <si>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</si>
  <si>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</si>
  <si>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</si>
  <si>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</si>
  <si>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</si>
  <si>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</si>
  <si>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</si>
  <si>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</si>
  <si>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</si>
  <si>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</si>
  <si>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</si>
  <si>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</si>
  <si>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</si>
  <si>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</si>
  <si>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</si>
  <si>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</si>
  <si>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</si>
  <si>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</si>
  <si>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</si>
  <si>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</si>
  <si>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</si>
  <si>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</si>
  <si>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</si>
  <si>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</si>
  <si>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</si>
  <si>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</si>
  <si>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</si>
  <si>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</si>
  <si>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</si>
  <si>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</si>
  <si>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</si>
  <si>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</si>
  <si>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</si>
  <si>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</si>
  <si>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</si>
  <si>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</si>
  <si>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</si>
  <si>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</si>
  <si>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</si>
  <si>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</si>
  <si>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</si>
  <si>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</si>
  <si>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</si>
  <si>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</si>
  <si>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</si>
  <si>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</si>
  <si>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</si>
  <si>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</si>
  <si>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</si>
  <si>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</si>
  <si>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</si>
  <si>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</si>
  <si>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</si>
  <si>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</si>
  <si>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</si>
  <si>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</si>
  <si>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</si>
  <si>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</si>
  <si>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</si>
  <si>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</si>
  <si>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</si>
  <si>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</si>
  <si>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</si>
  <si>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</si>
  <si>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</si>
  <si>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</si>
  <si>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</si>
  <si>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</si>
  <si>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</si>
  <si>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</si>
  <si>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</si>
  <si>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</si>
  <si>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</si>
  <si>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</si>
  <si>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</si>
  <si>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</si>
  <si>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</si>
  <si>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</si>
  <si>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</si>
  <si>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</si>
  <si>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</si>
  <si>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</si>
  <si>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</si>
  <si>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</si>
  <si>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</si>
  <si>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</si>
  <si>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</si>
  <si>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</si>
  <si>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</si>
  <si>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</si>
  <si>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</si>
  <si>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</si>
  <si>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</si>
  <si>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</si>
  <si>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</si>
  <si>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</si>
  <si>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</si>
  <si>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</si>
  <si>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</si>
  <si>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</si>
  <si>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</si>
  <si>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</si>
  <si>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</si>
  <si>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</si>
  <si>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</si>
  <si>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</si>
  <si>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</si>
  <si>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</si>
  <si>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</si>
  <si>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</si>
  <si>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</si>
  <si>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</si>
  <si>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</si>
  <si>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</si>
  <si>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</si>
  <si>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</si>
  <si>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</si>
  <si>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</si>
  <si>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</si>
  <si>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</si>
  <si>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</si>
  <si>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</si>
  <si>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</si>
  <si>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</si>
  <si>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</si>
  <si>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</si>
  <si>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</si>
  <si>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</si>
  <si>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</si>
  <si>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</si>
  <si>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</si>
  <si>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</si>
  <si>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</si>
  <si>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</si>
  <si>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</si>
  <si>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</si>
  <si>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</si>
  <si>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</si>
  <si>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</si>
  <si>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</si>
  <si>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</si>
  <si>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</si>
  <si>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</si>
  <si>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</si>
  <si>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</si>
  <si>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</si>
  <si>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</si>
  <si>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</si>
  <si>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</si>
  <si>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</si>
  <si>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</si>
  <si>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</si>
  <si>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</si>
  <si>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</si>
  <si>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</si>
  <si>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</si>
  <si>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</si>
  <si>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</si>
  <si>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</si>
  <si>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</si>
  <si>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</si>
  <si>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</si>
  <si>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</si>
  <si>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</si>
  <si>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</si>
  <si>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</si>
  <si>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</si>
  <si>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</si>
  <si>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</si>
  <si>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</si>
  <si>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</si>
  <si>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</si>
  <si>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</si>
  <si>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</si>
  <si>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</si>
  <si>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</si>
  <si>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</si>
  <si>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</si>
  <si>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</si>
  <si>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</si>
  <si>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</si>
  <si>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</si>
  <si>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</si>
  <si>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</si>
  <si>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</si>
  <si>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</si>
  <si>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</si>
  <si>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</si>
  <si>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</si>
  <si>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</si>
  <si>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</si>
  <si>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</si>
  <si>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</si>
  <si>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</si>
  <si>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</si>
  <si>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</si>
  <si>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</si>
  <si>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</si>
  <si>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</si>
  <si>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</si>
  <si>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</si>
  <si>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</si>
  <si>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</si>
  <si>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</si>
  <si>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</si>
  <si>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</si>
  <si>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</si>
  <si>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</si>
  <si>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</si>
  <si>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</si>
  <si>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</si>
  <si>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</si>
  <si>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</si>
  <si>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</si>
  <si>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</si>
  <si>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</si>
  <si>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</si>
  <si>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</si>
  <si>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</si>
  <si>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</si>
  <si>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</si>
  <si>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</si>
  <si>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</si>
  <si>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</si>
  <si>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</si>
  <si>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</si>
  <si>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</si>
  <si>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</si>
  <si>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</si>
  <si>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</si>
  <si>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</si>
  <si>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</si>
  <si>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</si>
  <si>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</si>
  <si>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</si>
  <si>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</si>
  <si>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</si>
  <si>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</si>
  <si>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</si>
  <si>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</si>
  <si>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</si>
  <si>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</si>
  <si>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</si>
  <si>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</si>
  <si>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</si>
  <si>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</si>
  <si>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</si>
  <si>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</si>
  <si>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</si>
  <si>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</si>
  <si>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</si>
  <si>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</si>
  <si>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</si>
  <si>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</si>
  <si>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</si>
  <si>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</si>
  <si>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</si>
  <si>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</si>
  <si>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</si>
  <si>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</si>
  <si>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</si>
  <si>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</si>
  <si>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</si>
  <si>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</si>
  <si>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</si>
  <si>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</si>
  <si>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</si>
  <si>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</si>
  <si>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</si>
  <si>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</si>
  <si>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</si>
  <si>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</si>
  <si>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</si>
  <si>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</si>
  <si>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</si>
  <si>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</si>
  <si>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</si>
  <si>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</si>
  <si>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</si>
  <si>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</si>
  <si>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</si>
  <si>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</si>
  <si>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</si>
  <si>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</si>
  <si>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</si>
  <si>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</si>
  <si>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</si>
  <si>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</si>
  <si>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</si>
  <si>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</si>
  <si>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</si>
  <si>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</si>
  <si>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</si>
  <si>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</si>
  <si>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</si>
  <si>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</si>
  <si>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</si>
  <si>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</si>
  <si>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</si>
  <si>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</si>
  <si>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</si>
  <si>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</si>
  <si>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</si>
  <si>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</si>
  <si>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</si>
  <si>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</si>
  <si>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</si>
  <si>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</si>
  <si>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</si>
  <si>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</si>
  <si>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</si>
  <si>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</si>
  <si>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</si>
  <si>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</si>
  <si>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</si>
  <si>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</si>
  <si>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</si>
  <si>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</si>
  <si>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</si>
  <si>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</si>
  <si>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</si>
  <si>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</si>
  <si>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</si>
  <si>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</si>
  <si>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</si>
  <si>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</si>
  <si>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</si>
  <si>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</si>
  <si>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</si>
  <si>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</si>
  <si>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</si>
  <si>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</si>
  <si>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</si>
  <si>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</si>
  <si>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</si>
  <si>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</si>
  <si>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</si>
  <si>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</si>
  <si>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</si>
  <si>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</si>
  <si>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</si>
  <si>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</si>
  <si>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</si>
  <si>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</si>
  <si>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</si>
  <si>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</si>
  <si>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</si>
  <si>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</si>
  <si>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</si>
  <si>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</si>
  <si>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</si>
  <si>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</si>
  <si>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</si>
  <si>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</si>
  <si>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</si>
  <si>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</si>
  <si>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</si>
  <si>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</si>
  <si>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</si>
  <si>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</si>
  <si>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</si>
  <si>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</si>
  <si>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</si>
  <si>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</si>
  <si>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</si>
  <si>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</si>
  <si>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</si>
  <si>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</si>
  <si>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</si>
  <si>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</si>
  <si>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</si>
  <si>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</si>
  <si>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</si>
  <si>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</si>
  <si>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</si>
  <si>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</si>
  <si>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</si>
  <si>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</si>
  <si>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</si>
  <si>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</si>
  <si>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</si>
  <si>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</si>
  <si>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</si>
  <si>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</si>
  <si>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</si>
  <si>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</si>
  <si>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</si>
  <si>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</si>
  <si>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</si>
  <si>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</si>
  <si>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</si>
  <si>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</si>
  <si>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</si>
  <si>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</si>
  <si>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</si>
  <si>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</si>
  <si>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</si>
  <si>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</si>
  <si>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</si>
  <si>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</si>
  <si>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</si>
  <si>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</si>
  <si>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</si>
  <si>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</si>
  <si>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</si>
  <si>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</si>
  <si>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</si>
  <si>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</si>
  <si>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</si>
  <si>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</si>
  <si>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</si>
  <si>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</si>
  <si>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</si>
  <si>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</si>
  <si>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</si>
  <si>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</si>
  <si>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</si>
  <si>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</si>
  <si>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</si>
  <si>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</si>
  <si>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</si>
  <si>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</si>
  <si>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</si>
  <si>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</si>
  <si>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</si>
  <si>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</si>
  <si>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</si>
  <si>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</si>
  <si>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</si>
  <si>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</si>
  <si>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</si>
  <si>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</si>
  <si>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</si>
  <si>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</si>
  <si>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</si>
  <si>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</si>
  <si>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</si>
  <si>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</si>
  <si>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</si>
  <si>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</si>
  <si>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</si>
  <si>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</si>
  <si>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</si>
  <si>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</si>
  <si>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</si>
  <si>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</si>
  <si>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</si>
  <si>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</si>
  <si>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</si>
  <si>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</si>
  <si>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</si>
  <si>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</si>
  <si>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</si>
  <si>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</si>
  <si>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</si>
  <si>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</si>
  <si>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</si>
  <si>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</si>
  <si>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</si>
  <si>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</si>
  <si>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</si>
  <si>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</si>
  <si>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</si>
  <si>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</si>
  <si>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</si>
  <si>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</si>
  <si>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</si>
  <si>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</si>
  <si>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</si>
  <si>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</si>
  <si>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</si>
  <si>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</si>
  <si>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</si>
  <si>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</si>
  <si>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</si>
  <si>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</si>
  <si>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</si>
  <si>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</si>
  <si>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</si>
  <si>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</si>
  <si>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</si>
  <si>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</si>
  <si>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</si>
  <si>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</si>
  <si>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</si>
  <si>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</si>
  <si>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</si>
  <si>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</si>
  <si>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</si>
  <si>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</si>
  <si>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</si>
  <si>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</si>
  <si>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</si>
  <si>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</si>
  <si>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</si>
  <si>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</si>
  <si>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</si>
  <si>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</si>
  <si>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</si>
  <si>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</si>
  <si>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</si>
  <si>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</si>
  <si>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</si>
  <si>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</si>
  <si>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</si>
  <si>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</si>
  <si>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</si>
  <si>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</si>
  <si>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</si>
  <si>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</si>
  <si>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</si>
  <si>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</si>
  <si>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</si>
  <si>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</si>
  <si>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</si>
  <si>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</si>
  <si>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</si>
  <si>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</si>
  <si>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</si>
  <si>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</si>
  <si>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</si>
  <si>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</si>
  <si>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</si>
  <si>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</si>
  <si>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</si>
  <si>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</si>
  <si>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</si>
  <si>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</si>
  <si>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</si>
  <si>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</si>
  <si>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</si>
  <si>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</si>
  <si>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</si>
  <si>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</si>
  <si>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</si>
  <si>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</si>
  <si>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</si>
  <si>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</si>
  <si>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</si>
  <si>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</si>
  <si>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</si>
  <si>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</si>
  <si>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</si>
  <si>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</si>
  <si>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</si>
  <si>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</si>
  <si>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</si>
  <si>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</si>
  <si>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</si>
  <si>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</si>
  <si>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</si>
  <si>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</si>
  <si>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</si>
  <si>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</si>
  <si>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</si>
  <si>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</si>
  <si>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</si>
  <si>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</si>
  <si>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</si>
  <si>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</si>
  <si>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</si>
  <si>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</si>
  <si>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</si>
  <si>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</si>
  <si>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</si>
  <si>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</si>
  <si>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</si>
  <si>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</si>
  <si>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</si>
  <si>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</si>
  <si>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</si>
  <si>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</si>
  <si>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</si>
  <si>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</si>
  <si>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</si>
  <si>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</si>
  <si>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</si>
  <si>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</si>
  <si>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</si>
  <si>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</si>
  <si>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</si>
  <si>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</si>
  <si>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</si>
  <si>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</si>
  <si>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</si>
  <si>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</si>
  <si>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</si>
  <si>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</si>
  <si>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</si>
  <si>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</si>
  <si>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</si>
  <si>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</si>
  <si>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</si>
  <si>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</si>
  <si>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</si>
  <si>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</si>
  <si>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</si>
  <si>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</si>
  <si>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</si>
  <si>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</si>
  <si>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</si>
  <si>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</si>
  <si>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</si>
  <si>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</si>
  <si>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</si>
  <si>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</si>
  <si>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</si>
  <si>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</si>
  <si>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</si>
  <si>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</si>
  <si>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</si>
  <si>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</si>
  <si>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</si>
  <si>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</si>
  <si>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</si>
  <si>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</si>
  <si>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</si>
  <si>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</si>
  <si>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</si>
  <si>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</si>
  <si>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</si>
  <si>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</si>
  <si>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</si>
  <si>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</si>
  <si>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</si>
  <si>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</si>
  <si>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</si>
  <si>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</si>
  <si>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</si>
  <si>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</si>
  <si>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</si>
  <si>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</si>
  <si>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</si>
  <si>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</si>
  <si>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</si>
  <si>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</si>
  <si>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</si>
  <si>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</si>
  <si>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</si>
  <si>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</si>
  <si>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</si>
  <si>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</si>
  <si>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</si>
  <si>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</si>
  <si>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</si>
  <si>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</si>
  <si>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</si>
  <si>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</si>
  <si>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</si>
  <si>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</si>
  <si>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</si>
  <si>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</si>
  <si>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</si>
  <si>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</si>
  <si>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</si>
  <si>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</si>
  <si>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</si>
  <si>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</si>
  <si>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</si>
  <si>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</si>
  <si>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</si>
  <si>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</si>
  <si>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</si>
  <si>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</si>
  <si>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</si>
  <si>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</si>
  <si>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</si>
  <si>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</si>
  <si>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</si>
  <si>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</si>
  <si>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</si>
  <si>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</si>
  <si>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</si>
  <si>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</si>
  <si>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</si>
  <si>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</si>
  <si>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</si>
  <si>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</si>
  <si>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</si>
  <si>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</si>
  <si>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</si>
  <si>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</si>
  <si>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</si>
  <si>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</si>
  <si>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</si>
  <si>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</si>
  <si>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</si>
  <si>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</si>
  <si>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</si>
  <si>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</si>
  <si>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</si>
  <si>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</si>
  <si>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</si>
  <si>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</si>
  <si>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</si>
  <si>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</si>
  <si>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</si>
  <si>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</si>
  <si>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</si>
  <si>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</si>
  <si>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</si>
  <si>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</si>
  <si>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</si>
  <si>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</si>
  <si>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</si>
  <si>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</si>
  <si>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</si>
  <si>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</si>
  <si>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</si>
  <si>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</si>
  <si>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</si>
  <si>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</si>
  <si>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</si>
  <si>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</si>
  <si>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</si>
  <si>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</si>
  <si>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</si>
  <si>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</si>
  <si>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</si>
  <si>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</si>
  <si>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</si>
  <si>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</si>
  <si>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</si>
  <si>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</si>
  <si>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</si>
  <si>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</si>
  <si>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</si>
  <si>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</si>
  <si>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</si>
  <si>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</si>
  <si>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</si>
  <si>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</si>
  <si>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</si>
  <si>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</si>
  <si>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</si>
  <si>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</si>
  <si>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</si>
  <si>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</si>
  <si>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</si>
  <si>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</si>
  <si>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</si>
  <si>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</si>
  <si>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</si>
  <si>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</si>
  <si>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</si>
  <si>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</si>
  <si>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</si>
  <si>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</si>
  <si>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</si>
  <si>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</si>
  <si>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</si>
  <si>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</si>
  <si>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</si>
  <si>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</si>
  <si>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</si>
  <si>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</si>
  <si>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</si>
  <si>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</si>
  <si>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</si>
  <si>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</si>
  <si>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</si>
  <si>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</si>
  <si>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</si>
  <si>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</si>
  <si>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</si>
  <si>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</si>
  <si>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</si>
  <si>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</si>
  <si>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</si>
  <si>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</si>
  <si>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</si>
  <si>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</si>
  <si>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</si>
  <si>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</si>
  <si>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</si>
  <si>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</si>
  <si>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</si>
  <si>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</si>
  <si>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</si>
  <si>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</si>
  <si>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</si>
  <si>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</si>
  <si>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</si>
  <si>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</si>
  <si>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</si>
  <si>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</si>
  <si>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</si>
  <si>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</si>
  <si>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</si>
  <si>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</si>
  <si>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</si>
  <si>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</si>
  <si>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</si>
  <si>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</si>
  <si>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</si>
  <si>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</si>
  <si>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</si>
  <si>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</si>
  <si>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</si>
  <si>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</si>
  <si>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</si>
  <si>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</si>
  <si>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</si>
  <si>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</si>
  <si>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</si>
  <si>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</si>
  <si>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</si>
  <si>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</si>
  <si>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</si>
  <si>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</si>
  <si>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</si>
  <si>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</si>
  <si>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</si>
  <si>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</si>
  <si>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</si>
  <si>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</si>
  <si>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</si>
  <si>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</si>
  <si>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</si>
  <si>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</si>
  <si>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</si>
  <si>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</si>
  <si>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</si>
  <si>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</si>
  <si>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</si>
  <si>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</si>
  <si>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</si>
  <si>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</si>
  <si>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</si>
  <si>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</si>
  <si>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</si>
  <si>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</si>
  <si>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</si>
  <si>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</si>
  <si>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</si>
  <si>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</si>
  <si>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</si>
  <si>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</si>
  <si>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</si>
  <si>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</si>
  <si>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</si>
  <si>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</si>
  <si>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</si>
  <si>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</si>
  <si>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</si>
  <si>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</si>
  <si>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</si>
  <si>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</si>
  <si>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</si>
  <si>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</si>
  <si>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</si>
  <si>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</si>
  <si>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</si>
  <si>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</si>
  <si>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</si>
  <si>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</si>
  <si>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</si>
  <si>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</si>
  <si>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</si>
  <si>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</si>
  <si>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</si>
  <si>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</si>
  <si>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</si>
  <si>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</si>
  <si>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</si>
  <si>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</si>
  <si>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</si>
  <si>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</si>
  <si>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</si>
  <si>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</si>
  <si>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</si>
  <si>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</si>
  <si>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</si>
  <si>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</si>
  <si>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</si>
  <si>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</si>
  <si>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</si>
  <si>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</si>
  <si>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</si>
  <si>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</si>
  <si>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</si>
  <si>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</si>
  <si>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</si>
  <si>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</si>
  <si>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</si>
  <si>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</si>
  <si>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</si>
  <si>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</si>
  <si>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</si>
  <si>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</si>
  <si>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</si>
  <si>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</si>
  <si>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</si>
  <si>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</si>
  <si>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</si>
  <si>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</si>
  <si>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</si>
  <si>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</si>
  <si>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</si>
  <si>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</si>
  <si>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</si>
  <si>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</si>
  <si>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</si>
  <si>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</si>
  <si>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</si>
  <si>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</si>
  <si>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</si>
  <si>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</si>
  <si>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</si>
  <si>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</si>
  <si>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</si>
  <si>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</si>
  <si>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</si>
  <si>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</si>
  <si>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</si>
  <si>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</si>
  <si>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</si>
  <si>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</si>
  <si>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</si>
  <si>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</si>
  <si>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</si>
  <si>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</si>
  <si>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</si>
  <si>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</si>
  <si>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</si>
  <si>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</si>
  <si>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</si>
  <si>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</si>
  <si>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</si>
  <si>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</si>
  <si>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</si>
  <si>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</si>
  <si>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</si>
  <si>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</si>
  <si>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</si>
  <si>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</si>
  <si>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</si>
  <si>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</si>
  <si>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</si>
  <si>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</si>
  <si>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</si>
  <si>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</si>
  <si>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</si>
  <si>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</si>
  <si>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</si>
  <si>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</si>
  <si>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</si>
  <si>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</si>
  <si>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</si>
  <si>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</si>
  <si>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</si>
  <si>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</si>
  <si>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</si>
  <si>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</si>
  <si>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</si>
  <si>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</si>
  <si>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</si>
  <si>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</si>
  <si>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</si>
  <si>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</si>
  <si>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</si>
  <si>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</si>
  <si>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</si>
  <si>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</si>
  <si>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</si>
  <si>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</si>
  <si>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</si>
  <si>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</si>
  <si>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</si>
  <si>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</si>
  <si>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</si>
  <si>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</si>
  <si>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</si>
  <si>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</si>
  <si>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</si>
  <si>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</si>
  <si>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</si>
  <si>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</si>
  <si>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</si>
  <si>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</si>
  <si>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</si>
  <si>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</si>
  <si>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</si>
  <si>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</si>
  <si>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</si>
  <si>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</si>
  <si>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</si>
  <si>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</si>
  <si>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</si>
  <si>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</si>
  <si>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</si>
  <si>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</si>
  <si>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</si>
  <si>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</si>
  <si>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</si>
  <si>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</si>
  <si>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</si>
  <si>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</si>
  <si>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</si>
  <si>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</si>
  <si>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</si>
  <si>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</si>
  <si>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</si>
  <si>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</si>
  <si>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</si>
  <si>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</si>
  <si>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</si>
  <si>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</si>
  <si>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</si>
  <si>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</si>
  <si>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</si>
  <si>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</si>
  <si>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</si>
  <si>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</si>
  <si>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</si>
  <si>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</si>
  <si>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</si>
  <si>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</si>
  <si>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</si>
  <si>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</si>
  <si>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</si>
  <si>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</si>
  <si>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</si>
  <si>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</si>
  <si>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</si>
  <si>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</si>
  <si>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</si>
  <si>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</si>
  <si>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</si>
  <si>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</si>
  <si>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</si>
  <si>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</si>
  <si>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</si>
  <si>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</si>
  <si>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</si>
  <si>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</si>
  <si>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</si>
  <si>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</si>
  <si>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</si>
  <si>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</si>
  <si>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</si>
  <si>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</si>
  <si>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</si>
  <si>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</si>
  <si>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</si>
  <si>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</si>
  <si>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</si>
  <si>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</si>
  <si>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</si>
  <si>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</si>
  <si>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</si>
  <si>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</si>
  <si>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</si>
  <si>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</si>
  <si>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</si>
  <si>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</si>
  <si>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</si>
  <si>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</si>
  <si>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</si>
  <si>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</si>
  <si>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</si>
  <si>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</si>
  <si>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</si>
  <si>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</si>
  <si>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</si>
  <si>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</si>
  <si>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</si>
  <si>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</si>
  <si>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</si>
  <si>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</si>
  <si>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</si>
  <si>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</si>
  <si>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</si>
  <si>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</si>
  <si>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</si>
  <si>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</si>
  <si>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</si>
  <si>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</si>
  <si>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</si>
  <si>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</si>
  <si>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</si>
  <si>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</si>
  <si>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</si>
  <si>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</si>
  <si>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</si>
  <si>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</si>
  <si>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</si>
  <si>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</si>
  <si>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</si>
  <si>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</si>
  <si>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</si>
  <si>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</si>
  <si>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</si>
  <si>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</si>
  <si>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</si>
  <si>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</si>
  <si>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</si>
  <si>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</si>
  <si>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</si>
  <si>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</si>
  <si>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</si>
  <si>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</si>
  <si>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</si>
  <si>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</si>
  <si>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</si>
  <si>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</si>
  <si>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</si>
  <si>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</si>
  <si>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</si>
  <si>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</si>
  <si>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</si>
  <si>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</si>
  <si>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</si>
  <si>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</si>
  <si>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</si>
  <si>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</si>
  <si>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</si>
  <si>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</si>
  <si>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</si>
  <si>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</si>
  <si>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</si>
  <si>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</si>
  <si>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</si>
  <si>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</si>
  <si>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</si>
  <si>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</si>
  <si>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</si>
  <si>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</si>
  <si>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</si>
  <si>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</si>
  <si>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</si>
  <si>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</si>
  <si>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</si>
  <si>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</si>
  <si>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</si>
  <si>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</si>
  <si>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</si>
  <si>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</si>
  <si>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</si>
  <si>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</si>
  <si>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</si>
  <si>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</si>
  <si>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</si>
  <si>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</si>
  <si>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</si>
  <si>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</si>
  <si>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</si>
  <si>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</si>
  <si>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</si>
  <si>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</si>
  <si>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</si>
  <si>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</si>
  <si>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</si>
  <si>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</si>
  <si>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</si>
  <si>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</si>
  <si>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</si>
  <si>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</si>
  <si>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</si>
  <si>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</si>
  <si>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</si>
  <si>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</si>
  <si>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</si>
  <si>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</si>
  <si>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</si>
  <si>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</si>
  <si>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</si>
  <si>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</si>
  <si>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</si>
  <si>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</si>
  <si>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</si>
  <si>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</si>
  <si>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</si>
  <si>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</si>
  <si>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</si>
  <si>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</si>
  <si>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</si>
  <si>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</si>
  <si>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</si>
  <si>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</si>
  <si>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</si>
  <si>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</si>
  <si>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</si>
  <si>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</si>
  <si>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</si>
  <si>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</si>
  <si>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</si>
  <si>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</si>
  <si>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</si>
  <si>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</si>
  <si>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</si>
  <si>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</si>
  <si>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</si>
  <si>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</si>
  <si>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</si>
  <si>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</si>
  <si>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</si>
  <si>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</si>
  <si>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</si>
  <si>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</si>
  <si>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</si>
  <si>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</si>
  <si>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</si>
  <si>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</si>
  <si>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</si>
  <si>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</si>
  <si>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</si>
  <si>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</si>
  <si>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</si>
  <si>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</si>
  <si>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</si>
  <si>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</si>
  <si>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</si>
  <si>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</si>
  <si>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</si>
  <si>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</si>
  <si>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</si>
  <si>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</si>
  <si>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</si>
  <si>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</si>
  <si>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</si>
  <si>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</si>
  <si>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</si>
  <si>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</si>
  <si>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</si>
  <si>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</si>
  <si>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</si>
  <si>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</si>
  <si>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</si>
  <si>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</si>
  <si>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</si>
  <si>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</si>
  <si>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</si>
  <si>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</si>
  <si>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</si>
  <si>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</si>
  <si>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</si>
  <si>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</si>
  <si>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</si>
  <si>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</si>
  <si>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</si>
  <si>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</si>
  <si>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</si>
  <si>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</si>
  <si>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</si>
  <si>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</si>
  <si>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</si>
  <si>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</si>
  <si>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</si>
  <si>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</si>
  <si>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</si>
  <si>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</si>
  <si>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</si>
  <si>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</si>
  <si>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</si>
  <si>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</si>
  <si>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</si>
  <si>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</si>
  <si>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</si>
  <si>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</si>
  <si>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</si>
  <si>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</si>
  <si>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</si>
  <si>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</si>
  <si>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</si>
  <si>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</si>
  <si>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</si>
  <si>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</si>
  <si>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</si>
  <si>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</si>
  <si>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</si>
  <si>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</si>
  <si>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</si>
  <si>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</si>
  <si>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</si>
  <si>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</si>
  <si>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</si>
  <si>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</si>
  <si>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</si>
  <si>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</si>
  <si>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</si>
  <si>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</si>
  <si>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</si>
  <si>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</si>
  <si>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</si>
  <si>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</si>
  <si>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</si>
  <si>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</si>
  <si>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</si>
  <si>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</si>
  <si>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</si>
  <si>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</si>
  <si>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</si>
  <si>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</si>
  <si>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</si>
  <si>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</si>
  <si>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</si>
  <si>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</si>
  <si>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</si>
  <si>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</si>
  <si>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</si>
  <si>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</si>
  <si>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</si>
  <si>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</si>
  <si>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</si>
  <si>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</si>
  <si>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</si>
  <si>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</si>
  <si>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</si>
  <si>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</si>
  <si>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</si>
  <si>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</si>
  <si>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</si>
  <si>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</si>
  <si>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</si>
  <si>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</si>
  <si>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</si>
  <si>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</si>
  <si>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</si>
  <si>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</si>
  <si>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</si>
  <si>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</si>
  <si>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</si>
  <si>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</si>
  <si>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</si>
  <si>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</si>
  <si>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</si>
  <si>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</si>
  <si>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</si>
  <si>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</si>
  <si>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</si>
  <si>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</si>
  <si>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</si>
  <si>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</si>
  <si>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</si>
  <si>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</si>
  <si>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</si>
  <si>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</si>
  <si>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</si>
  <si>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</si>
  <si>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</si>
  <si>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</si>
  <si>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</si>
  <si>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</si>
  <si>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</si>
  <si>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</si>
  <si>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</si>
  <si>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</si>
  <si>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</si>
  <si>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</si>
  <si>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</si>
  <si>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</si>
  <si>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</si>
  <si>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</si>
  <si>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</si>
  <si>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</si>
  <si>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</si>
  <si>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</si>
  <si>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</si>
  <si>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</si>
  <si>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</si>
  <si>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</si>
  <si>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</si>
  <si>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</si>
  <si>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</si>
  <si>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</si>
  <si>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</si>
  <si>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</si>
  <si>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</si>
  <si>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</si>
  <si>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</si>
  <si>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</si>
  <si>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</si>
  <si>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</si>
  <si>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</si>
  <si>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</si>
  <si>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</si>
  <si>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</si>
  <si>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</si>
  <si>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</si>
  <si>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</si>
  <si>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</si>
  <si>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</si>
  <si>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</si>
  <si>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</si>
  <si>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</si>
  <si>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</si>
  <si>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</si>
  <si>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</si>
  <si>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</si>
  <si>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</si>
  <si>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</si>
  <si>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</si>
  <si>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</si>
  <si>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</si>
  <si>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</si>
  <si>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</si>
  <si>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</si>
  <si>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</si>
  <si>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</si>
  <si>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</si>
  <si>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</si>
  <si>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</si>
  <si>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</si>
  <si>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</si>
  <si>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</si>
  <si>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</si>
  <si>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</si>
  <si>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</si>
  <si>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</si>
  <si>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</si>
  <si>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</si>
  <si>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</si>
  <si>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</si>
  <si>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</si>
  <si>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</si>
  <si>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</si>
  <si>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</si>
  <si>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</si>
  <si>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</si>
  <si>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</si>
  <si>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</si>
  <si>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</si>
  <si>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</si>
  <si>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</si>
  <si>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</si>
  <si>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</si>
  <si>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</si>
  <si>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</si>
  <si>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</si>
  <si>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</si>
  <si>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</si>
  <si>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</si>
  <si>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</si>
  <si>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</si>
  <si>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</si>
  <si>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</si>
  <si>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</si>
  <si>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</si>
  <si>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</si>
  <si>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</si>
  <si>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</si>
  <si>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</si>
  <si>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</si>
  <si>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</si>
  <si>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</si>
  <si>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</si>
  <si>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</si>
  <si>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</si>
  <si>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</si>
  <si>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</si>
  <si>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</si>
  <si>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</si>
  <si>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</si>
  <si>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</si>
  <si>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</si>
  <si>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</si>
  <si>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</si>
  <si>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</si>
  <si>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</si>
  <si>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</si>
  <si>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</si>
  <si>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</si>
  <si>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</si>
  <si>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</si>
  <si>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</si>
  <si>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</si>
  <si>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</si>
  <si>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</si>
  <si>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</si>
  <si>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</si>
  <si>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</si>
  <si>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</si>
  <si>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</si>
  <si>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</si>
  <si>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</si>
  <si>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</si>
  <si>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</si>
  <si>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</si>
  <si>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</si>
  <si>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</si>
  <si>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</si>
  <si>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</si>
  <si>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</si>
  <si>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</si>
  <si>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</si>
  <si>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</si>
  <si>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</si>
  <si>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</si>
  <si>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</si>
  <si>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</si>
  <si>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</si>
  <si>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</si>
  <si>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</si>
  <si>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</si>
  <si>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</si>
  <si>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</si>
  <si>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</si>
  <si>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</si>
  <si>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</si>
  <si>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</si>
  <si>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</si>
  <si>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</si>
  <si>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</si>
  <si>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</si>
  <si>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</si>
  <si>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</si>
  <si>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</si>
  <si>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</si>
  <si>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</si>
  <si>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</si>
  <si>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</si>
  <si>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</si>
  <si>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</si>
  <si>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</si>
  <si>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</si>
  <si>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</si>
  <si>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</si>
  <si>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</si>
  <si>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</si>
  <si>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</si>
  <si>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</si>
  <si>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</si>
  <si>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</si>
  <si>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</si>
  <si>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</si>
  <si>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</si>
  <si>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</si>
  <si>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</si>
  <si>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</si>
  <si>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</si>
  <si>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</si>
  <si>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</si>
  <si>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</si>
  <si>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</si>
  <si>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</si>
  <si>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</si>
  <si>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</si>
  <si>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</si>
  <si>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</si>
  <si>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</si>
  <si>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</si>
  <si>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</si>
  <si>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</si>
  <si>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</si>
  <si>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</si>
  <si>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</si>
  <si>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</si>
  <si>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</si>
  <si>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</si>
  <si>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</si>
  <si>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</si>
  <si>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</si>
  <si>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</si>
  <si>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</si>
  <si>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</si>
  <si>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</si>
  <si>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</si>
  <si>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</si>
  <si>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</si>
  <si>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</si>
  <si>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</si>
  <si>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</si>
  <si>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</si>
  <si>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</si>
  <si>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</si>
  <si>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</si>
  <si>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</si>
  <si>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</si>
  <si>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</si>
  <si>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</si>
  <si>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</si>
  <si>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</si>
  <si>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</si>
  <si>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</si>
  <si>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</si>
  <si>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</si>
  <si>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</si>
  <si>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</si>
  <si>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</si>
  <si>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</si>
  <si>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</si>
  <si>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</si>
  <si>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</si>
  <si>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</si>
  <si>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</si>
  <si>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</si>
  <si>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</si>
  <si>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</si>
  <si>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</si>
  <si>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</si>
  <si>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</si>
  <si>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</si>
  <si>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</si>
  <si>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</si>
  <si>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</si>
  <si>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</si>
  <si>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</si>
  <si>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</si>
  <si>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</si>
  <si>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</si>
  <si>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</si>
  <si>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</si>
  <si>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</si>
  <si>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</si>
  <si>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</si>
  <si>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</si>
  <si>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</si>
  <si>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</si>
  <si>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</si>
  <si>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</si>
  <si>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</si>
  <si>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</si>
  <si>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</si>
  <si>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</si>
  <si>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</si>
  <si>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</si>
  <si>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</si>
  <si>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</si>
  <si>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</si>
  <si>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</si>
  <si>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</si>
  <si>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</si>
  <si>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</si>
  <si>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</si>
  <si>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</si>
  <si>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</si>
  <si>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</si>
  <si>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</si>
  <si>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</si>
  <si>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</si>
  <si>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</si>
  <si>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</si>
  <si>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</si>
  <si>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</si>
  <si>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</si>
  <si>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</si>
  <si>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</si>
  <si>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</si>
  <si>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</si>
  <si>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</si>
  <si>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</si>
  <si>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</si>
  <si>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</si>
  <si>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</si>
  <si>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</si>
  <si>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</si>
  <si>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</si>
  <si>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</si>
  <si>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</si>
  <si>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</si>
  <si>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</si>
  <si>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</si>
  <si>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</si>
  <si>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</si>
  <si>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</si>
  <si>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</si>
  <si>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</si>
  <si>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</si>
  <si>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</si>
  <si>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</si>
  <si>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</si>
  <si>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</si>
  <si>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</si>
  <si>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</si>
  <si>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</si>
  <si>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</si>
  <si>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</si>
  <si>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</si>
  <si>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</si>
  <si>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</si>
  <si>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</si>
  <si>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</si>
  <si>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</si>
  <si>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</si>
  <si>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</si>
  <si>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</si>
  <si>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</si>
  <si>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</si>
  <si>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</si>
  <si>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</si>
  <si>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</si>
  <si>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</si>
  <si>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</si>
  <si>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</si>
  <si>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</si>
  <si>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</si>
  <si>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</si>
  <si>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</si>
  <si>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</si>
  <si>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</si>
  <si>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</si>
  <si>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</si>
  <si>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</si>
  <si>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</si>
  <si>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</si>
  <si>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</si>
  <si>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</si>
  <si>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</si>
  <si>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</si>
  <si>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</si>
  <si>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</si>
  <si>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</si>
  <si>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</si>
  <si>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</si>
  <si>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</si>
  <si>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</si>
  <si>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</si>
  <si>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</si>
  <si>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</si>
  <si>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</si>
  <si>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</si>
  <si>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</si>
  <si>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</si>
  <si>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</si>
  <si>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</si>
  <si>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</si>
  <si>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</si>
  <si>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</si>
  <si>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</si>
  <si>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</si>
  <si>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</si>
  <si>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</si>
  <si>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</si>
  <si>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</si>
  <si>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</si>
  <si>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</si>
  <si>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</si>
  <si>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</si>
  <si>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</si>
  <si>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</si>
  <si>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</si>
  <si>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</si>
  <si>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</si>
  <si>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</si>
  <si>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</si>
  <si>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</si>
  <si>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</si>
  <si>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</si>
  <si>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</si>
  <si>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</si>
  <si>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</si>
  <si>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</si>
  <si>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</si>
  <si>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</si>
  <si>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</si>
  <si>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</si>
  <si>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</si>
  <si>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</si>
  <si>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</si>
  <si>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</si>
  <si>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</si>
  <si>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</si>
  <si>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</si>
  <si>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</si>
  <si>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</si>
  <si>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</si>
  <si>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</si>
  <si>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</si>
  <si>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</si>
  <si>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</si>
  <si>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</si>
  <si>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</si>
  <si>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</si>
  <si>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</si>
  <si>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</si>
  <si>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</si>
  <si>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</si>
  <si>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</si>
  <si>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</si>
  <si>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</si>
  <si>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</si>
  <si>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</si>
  <si>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</si>
  <si>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</si>
  <si>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</si>
  <si>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</si>
  <si>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</si>
  <si>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</si>
  <si>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</si>
  <si>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</si>
  <si>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</si>
  <si>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</si>
  <si>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</si>
  <si>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</si>
  <si>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</si>
  <si>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</si>
  <si>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</si>
  <si>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</si>
  <si>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</si>
  <si>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</si>
  <si>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</si>
  <si>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</si>
  <si>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</si>
  <si>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</si>
  <si>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</si>
  <si>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</si>
  <si>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</si>
  <si>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</si>
  <si>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</si>
  <si>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</si>
  <si>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</si>
  <si>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</si>
  <si>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</si>
  <si>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</si>
  <si>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</si>
  <si>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</si>
  <si>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</si>
  <si>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</si>
  <si>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</si>
  <si>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</si>
  <si>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</si>
  <si>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</si>
  <si>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</si>
  <si>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</si>
  <si>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</si>
  <si>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</si>
  <si>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</si>
  <si>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</si>
  <si>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</si>
  <si>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</si>
  <si>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</si>
  <si>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</si>
  <si>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</si>
  <si>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</si>
  <si>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</si>
  <si>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</si>
  <si>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</si>
  <si>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</si>
  <si>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</si>
  <si>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</si>
  <si>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</si>
  <si>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</si>
  <si>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</si>
  <si>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</si>
  <si>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</si>
  <si>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</si>
  <si>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</si>
  <si>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</si>
  <si>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</si>
  <si>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</si>
  <si>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</si>
  <si>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</si>
  <si>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</si>
  <si>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</si>
  <si>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</si>
  <si>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</si>
  <si>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</si>
  <si>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</si>
  <si>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</si>
  <si>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</si>
  <si>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</si>
  <si>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</si>
  <si>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</si>
  <si>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</si>
  <si>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</si>
  <si>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</si>
  <si>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</si>
  <si>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</si>
  <si>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</si>
  <si>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</si>
  <si>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</si>
  <si>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</si>
  <si>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</si>
  <si>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</si>
  <si>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</si>
  <si>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</si>
  <si>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</si>
  <si>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</si>
  <si>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</si>
  <si>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</si>
  <si>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</si>
  <si>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</si>
  <si>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</si>
  <si>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</si>
  <si>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</si>
  <si>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</si>
  <si>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</si>
  <si>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</si>
  <si>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</si>
  <si>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</si>
  <si>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</si>
  <si>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</si>
  <si>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</si>
  <si>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</si>
  <si>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</si>
  <si>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</si>
  <si>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</si>
  <si>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</si>
  <si>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</si>
  <si>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</si>
  <si>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</si>
  <si>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</si>
  <si>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</si>
  <si>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</si>
  <si>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</si>
  <si>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</si>
  <si>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</si>
  <si>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</si>
  <si>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</si>
  <si>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</si>
  <si>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</si>
  <si>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</si>
  <si>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</si>
  <si>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</si>
  <si>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</si>
  <si>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</si>
  <si>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</si>
  <si>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</si>
  <si>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</si>
  <si>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</si>
  <si>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</si>
  <si>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</si>
  <si>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</si>
  <si>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</si>
  <si>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</si>
  <si>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</si>
  <si>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</si>
  <si>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</si>
  <si>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</si>
  <si>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</si>
  <si>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</si>
  <si>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</si>
  <si>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</si>
  <si>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</si>
  <si>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</si>
  <si>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</si>
  <si>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</si>
  <si>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</si>
  <si>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</si>
  <si>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</si>
  <si>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</si>
  <si>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</si>
  <si>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</si>
  <si>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</si>
  <si>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</si>
  <si>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</si>
  <si>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</si>
  <si>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</si>
  <si>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</si>
  <si>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</si>
  <si>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</si>
  <si>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</si>
  <si>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</si>
  <si>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</si>
  <si>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</si>
  <si>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</si>
  <si>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</si>
  <si>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</si>
  <si>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</si>
  <si>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</si>
  <si>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</si>
  <si>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</si>
  <si>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</si>
  <si>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</si>
  <si>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</si>
  <si>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</si>
  <si>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</si>
  <si>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</si>
  <si>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</si>
  <si>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</si>
  <si>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</si>
  <si>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</si>
  <si>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</si>
  <si>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</si>
  <si>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</si>
  <si>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</si>
  <si>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</si>
  <si>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</si>
  <si>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</si>
  <si>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</si>
  <si>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</si>
  <si>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</si>
  <si>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</si>
  <si>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</si>
  <si>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</si>
  <si>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</si>
  <si>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</si>
  <si>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</si>
  <si>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</si>
  <si>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</si>
  <si>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</si>
  <si>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</si>
  <si>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</si>
  <si>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</si>
  <si>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</si>
  <si>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</si>
  <si>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</si>
  <si>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</si>
  <si>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</si>
  <si>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</si>
  <si>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</si>
  <si>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</si>
  <si>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</si>
  <si>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</si>
  <si>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</si>
  <si>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</si>
  <si>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</si>
  <si>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</si>
  <si>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</si>
  <si>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</si>
  <si>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</si>
  <si>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</si>
  <si>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</si>
  <si>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</si>
  <si>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</si>
  <si>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</si>
  <si>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</si>
  <si>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</si>
  <si>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</si>
  <si>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</si>
  <si>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</si>
  <si>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</si>
  <si>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</si>
  <si>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</si>
  <si>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</si>
  <si>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</si>
  <si>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</si>
  <si>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</si>
  <si>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</si>
  <si>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</si>
  <si>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</si>
  <si>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</si>
  <si>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</si>
  <si>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</si>
  <si>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</si>
  <si>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</si>
  <si>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</si>
  <si>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</si>
  <si>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</si>
  <si>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</si>
  <si>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</si>
  <si>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</si>
  <si>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</si>
  <si>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</si>
  <si>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</si>
  <si>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</si>
  <si>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</si>
  <si>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</si>
  <si>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</si>
  <si>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</si>
  <si>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</si>
  <si>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</si>
  <si>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</si>
  <si>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</si>
  <si>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</si>
  <si>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</si>
  <si>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</si>
  <si>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</si>
  <si>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</si>
  <si>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</si>
  <si>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</si>
  <si>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</si>
  <si>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</si>
  <si>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</si>
  <si>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</si>
  <si>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</si>
  <si>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</si>
  <si>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</si>
  <si>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</si>
  <si>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</si>
  <si>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</si>
  <si>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</si>
  <si>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</si>
  <si>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</si>
  <si>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</si>
  <si>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</si>
  <si>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</si>
  <si>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</si>
  <si>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</si>
  <si>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</si>
  <si>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</si>
  <si>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</si>
  <si>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</si>
  <si>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</si>
  <si>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</si>
  <si>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</si>
  <si>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</si>
  <si>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</si>
  <si>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</si>
  <si>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</si>
  <si>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</si>
  <si>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</si>
  <si>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</si>
  <si>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</si>
  <si>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</si>
  <si>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</si>
  <si>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</si>
  <si>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</si>
  <si>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</si>
  <si>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</si>
  <si>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</si>
  <si>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</si>
  <si>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</si>
  <si>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</si>
  <si>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</si>
  <si>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</si>
  <si>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</si>
  <si>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</si>
  <si>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</si>
  <si>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</si>
  <si>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</si>
  <si>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</si>
  <si>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</si>
  <si>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</si>
  <si>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</si>
  <si>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</si>
  <si>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</si>
  <si>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</si>
  <si>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</si>
  <si>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</si>
  <si>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</si>
  <si>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</si>
  <si>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</si>
  <si>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</si>
  <si>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</si>
  <si>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</si>
  <si>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</si>
  <si>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</si>
  <si>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</si>
  <si>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</si>
  <si>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</si>
  <si>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</si>
  <si>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</si>
  <si>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</si>
  <si>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</si>
  <si>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</si>
  <si>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</si>
  <si>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</si>
  <si>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</si>
  <si>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</si>
  <si>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</si>
  <si>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</si>
  <si>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</si>
  <si>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</si>
  <si>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</si>
  <si>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</si>
  <si>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</si>
  <si>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</si>
  <si>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</si>
  <si>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</si>
  <si>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</si>
  <si>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</si>
  <si>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</si>
  <si>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</si>
  <si>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</si>
  <si>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</si>
  <si>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</si>
  <si>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</si>
  <si>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</si>
  <si>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</si>
  <si>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</si>
  <si>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</si>
  <si>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</si>
  <si>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</si>
  <si>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</si>
  <si>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</si>
  <si>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</si>
  <si>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</si>
  <si>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</si>
  <si>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</si>
  <si>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</si>
  <si>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</si>
  <si>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</si>
  <si>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</si>
  <si>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</si>
  <si>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</si>
  <si>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</si>
  <si>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</si>
  <si>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</si>
  <si>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</si>
  <si>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</si>
  <si>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</si>
  <si>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</si>
  <si>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</si>
  <si>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</si>
  <si>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</si>
  <si>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</si>
  <si>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</si>
  <si>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</si>
  <si>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</si>
  <si>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</si>
  <si>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</si>
  <si>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</si>
  <si>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</si>
  <si>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</si>
  <si>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</si>
  <si>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</si>
  <si>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</si>
  <si>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</si>
  <si>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</si>
  <si>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</si>
  <si>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</si>
  <si>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</si>
  <si>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</si>
  <si>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</si>
  <si>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</si>
  <si>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</si>
  <si>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</si>
  <si>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</si>
  <si>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</si>
  <si>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</si>
  <si>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</si>
  <si>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</si>
  <si>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</si>
  <si>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</si>
  <si>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</si>
  <si>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</si>
  <si>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</si>
  <si>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</si>
  <si>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</si>
  <si>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</si>
  <si>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</si>
  <si>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</si>
  <si>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</si>
  <si>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</si>
  <si>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</si>
  <si>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</si>
  <si>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</si>
  <si>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</si>
  <si>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</si>
  <si>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</si>
  <si>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</si>
  <si>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</si>
  <si>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</si>
  <si>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</si>
  <si>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</si>
  <si>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</si>
  <si>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</si>
  <si>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</si>
  <si>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</si>
  <si>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</si>
  <si>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</si>
  <si>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</si>
  <si>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</si>
  <si>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</si>
  <si>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</si>
  <si>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</si>
  <si>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</si>
  <si>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</si>
  <si>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</si>
  <si>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</si>
  <si>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</si>
  <si>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</si>
  <si>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</si>
  <si>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</si>
  <si>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</si>
  <si>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</si>
  <si>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</si>
  <si>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</si>
  <si>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</si>
  <si>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</si>
  <si>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</si>
  <si>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</si>
  <si>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</si>
  <si>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</si>
  <si>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</si>
  <si>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</si>
  <si>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</si>
  <si>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</si>
  <si>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</si>
  <si>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</si>
  <si>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</si>
  <si>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</si>
  <si>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</si>
  <si>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</si>
  <si>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</si>
  <si>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</si>
  <si>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</si>
  <si>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</si>
  <si>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</si>
  <si>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</si>
  <si>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</si>
  <si>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</si>
  <si>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</si>
  <si>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</si>
  <si>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</si>
  <si>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</si>
  <si>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</si>
  <si>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</si>
  <si>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</si>
  <si>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</si>
  <si>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</si>
  <si>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</si>
  <si>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</si>
  <si>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</si>
  <si>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</si>
  <si>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</si>
  <si>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</si>
  <si>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</si>
  <si>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</si>
  <si>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</si>
  <si>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</si>
  <si>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</si>
  <si>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</si>
  <si>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</si>
  <si>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</si>
  <si>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</si>
  <si>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</si>
  <si>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</si>
  <si>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</si>
  <si>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</si>
  <si>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</si>
  <si>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</si>
  <si>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</si>
  <si>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</si>
  <si>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</si>
  <si>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</si>
  <si>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</si>
  <si>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</si>
  <si>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</si>
  <si>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</si>
  <si>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</si>
  <si>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</si>
  <si>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</si>
  <si>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</si>
  <si>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</si>
  <si>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</si>
  <si>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</si>
  <si>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</si>
  <si>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</si>
  <si>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</si>
  <si>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</si>
  <si>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</si>
  <si>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</si>
  <si>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</si>
  <si>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</si>
  <si>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</si>
  <si>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</si>
  <si>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</si>
  <si>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</si>
  <si>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</si>
  <si>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</si>
  <si>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</si>
  <si>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</si>
  <si>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</si>
  <si>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</si>
  <si>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</si>
  <si>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</si>
  <si>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</si>
  <si>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</si>
  <si>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</si>
  <si>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</si>
  <si>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</si>
  <si>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</si>
  <si>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</si>
  <si>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</si>
  <si>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</si>
  <si>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</si>
  <si>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</si>
  <si>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</si>
  <si>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</si>
  <si>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</si>
  <si>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</si>
  <si>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</si>
  <si>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</si>
  <si>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</si>
  <si>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</si>
  <si>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</si>
  <si>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</si>
  <si>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</si>
  <si>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</si>
  <si>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</si>
  <si>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</si>
  <si>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</si>
  <si>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</si>
  <si>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</si>
  <si>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</si>
  <si>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</si>
  <si>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</si>
  <si>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</si>
  <si>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</si>
  <si>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</si>
  <si>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</si>
  <si>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</si>
  <si>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</si>
  <si>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</si>
  <si>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</si>
  <si>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</si>
  <si>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</si>
  <si>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</si>
  <si>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</si>
  <si>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</si>
  <si>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</si>
  <si>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</si>
  <si>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</si>
  <si>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</si>
  <si>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</si>
  <si>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</si>
  <si>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</si>
  <si>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</si>
  <si>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</si>
  <si>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</si>
  <si>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</si>
  <si>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</si>
  <si>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</si>
  <si>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</si>
  <si>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</si>
  <si>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</si>
  <si>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</si>
  <si>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</si>
  <si>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</si>
  <si>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</si>
  <si>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</si>
  <si>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</si>
  <si>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</si>
  <si>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</si>
  <si>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</si>
  <si>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</si>
  <si>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</si>
  <si>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</si>
  <si>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</si>
  <si>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</si>
  <si>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</si>
  <si>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</si>
  <si>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</si>
  <si>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</si>
  <si>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</si>
  <si>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</si>
  <si>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</si>
  <si>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</si>
  <si>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</si>
  <si>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</si>
  <si>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</si>
  <si>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</si>
  <si>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</si>
  <si>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</si>
  <si>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</si>
  <si>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</si>
  <si>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</si>
  <si>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</si>
  <si>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</si>
  <si>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</si>
  <si>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</si>
  <si>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</si>
  <si>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</si>
  <si>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</si>
  <si>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</si>
  <si>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</si>
  <si>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</si>
  <si>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</si>
  <si>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</si>
  <si>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</si>
  <si>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</si>
  <si>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</si>
  <si>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</si>
  <si>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</si>
  <si>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</si>
  <si>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</si>
  <si>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</si>
  <si>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</si>
  <si>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</si>
  <si>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</si>
  <si>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</si>
  <si>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</si>
  <si>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</si>
  <si>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</si>
  <si>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</si>
  <si>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</si>
  <si>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</si>
  <si>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</si>
  <si>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</si>
  <si>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</si>
  <si>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</si>
  <si>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</si>
  <si>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</si>
  <si>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</si>
  <si>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</si>
  <si>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</si>
  <si>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</si>
  <si>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</si>
  <si>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</si>
  <si>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</si>
  <si>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</si>
  <si>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</si>
  <si>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</si>
  <si>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</si>
  <si>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</si>
  <si>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</si>
  <si>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</si>
  <si>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</si>
  <si>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</si>
  <si>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</si>
  <si>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</si>
  <si>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</si>
  <si>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</si>
  <si>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</si>
  <si>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</si>
  <si>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</si>
  <si>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</si>
  <si>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</si>
  <si>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</si>
  <si>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</si>
  <si>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</si>
  <si>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</si>
  <si>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</si>
  <si>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</si>
  <si>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</si>
  <si>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</si>
  <si>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</si>
  <si>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</si>
  <si>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</si>
  <si>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</si>
  <si>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</si>
  <si>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</si>
  <si>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</si>
  <si>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</si>
  <si>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</si>
  <si>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</si>
  <si>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</si>
  <si>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</si>
  <si>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</si>
  <si>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</si>
  <si>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</si>
  <si>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</si>
  <si>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</si>
  <si>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</si>
  <si>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</si>
  <si>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</si>
  <si>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</si>
  <si>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</si>
  <si>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</si>
  <si>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</si>
  <si>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</si>
  <si>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</si>
  <si>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</si>
  <si>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</si>
  <si>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</si>
  <si>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</si>
  <si>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</si>
  <si>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</si>
  <si>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</si>
  <si>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</si>
  <si>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</si>
  <si>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</si>
  <si>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</si>
  <si>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</si>
  <si>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</si>
  <si>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</si>
  <si>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</si>
  <si>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</si>
  <si>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</si>
  <si>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</si>
  <si>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</si>
  <si>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</si>
  <si>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</si>
  <si>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</si>
  <si>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</si>
  <si>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</si>
  <si>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</si>
  <si>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</si>
  <si>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</si>
  <si>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</si>
  <si>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</si>
  <si>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</si>
  <si>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</si>
  <si>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</si>
  <si>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</si>
  <si>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</si>
  <si>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</si>
  <si>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</si>
  <si>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</si>
  <si>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</si>
  <si>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</si>
  <si>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</si>
  <si>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</si>
  <si>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</si>
  <si>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</si>
  <si>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</si>
  <si>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</si>
  <si>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</si>
  <si>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</si>
  <si>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</si>
  <si>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</si>
  <si>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</si>
  <si>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</si>
  <si>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</si>
  <si>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</si>
  <si>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</si>
  <si>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</si>
  <si>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</si>
  <si>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</si>
  <si>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</si>
  <si>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</si>
  <si>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</si>
  <si>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</si>
  <si>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</si>
  <si>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</si>
  <si>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</si>
  <si>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</si>
  <si>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</si>
  <si>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</si>
  <si>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</si>
  <si>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</si>
  <si>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</si>
  <si>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</si>
  <si>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</si>
  <si>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</si>
  <si>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</si>
  <si>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</si>
  <si>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</si>
  <si>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</si>
  <si>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</si>
  <si>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</si>
  <si>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</si>
  <si>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</si>
  <si>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</si>
  <si>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</si>
  <si>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</si>
  <si>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</si>
  <si>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</si>
  <si>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</si>
  <si>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</si>
  <si>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</si>
  <si>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</si>
  <si>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</si>
  <si>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</si>
  <si>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</si>
  <si>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</si>
  <si>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</si>
  <si>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</si>
  <si>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</si>
  <si>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</si>
  <si>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</si>
  <si>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</si>
  <si>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</si>
  <si>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</si>
  <si>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</si>
  <si>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</si>
  <si>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</si>
  <si>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</si>
  <si>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</si>
  <si>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</si>
  <si>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</si>
  <si>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</si>
  <si>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</si>
  <si>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</si>
  <si>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</si>
  <si>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</si>
  <si>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</si>
  <si>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</si>
  <si>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</si>
  <si>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</si>
  <si>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</si>
  <si>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</si>
  <si>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</si>
  <si>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</si>
  <si>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</si>
  <si>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</si>
  <si>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</si>
  <si>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</si>
  <si>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</si>
  <si>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</si>
  <si>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</si>
  <si>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</si>
  <si>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</si>
  <si>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</si>
  <si>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</si>
  <si>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</si>
  <si>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</si>
  <si>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</si>
  <si>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</si>
  <si>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</si>
  <si>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</si>
  <si>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</si>
  <si>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</si>
  <si>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</si>
  <si>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</si>
  <si>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</si>
  <si>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</si>
  <si>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</si>
  <si>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</si>
  <si>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</si>
  <si>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</si>
  <si>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</si>
  <si>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</si>
  <si>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</si>
  <si>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</si>
  <si>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</si>
  <si>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</si>
  <si>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</si>
  <si>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</si>
  <si>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</si>
  <si>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</si>
  <si>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</si>
  <si>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</si>
  <si>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</si>
  <si>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</si>
  <si>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</si>
  <si>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</si>
  <si>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</si>
  <si>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</si>
  <si>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</si>
  <si>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</si>
  <si>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</si>
  <si>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</si>
  <si>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</si>
  <si>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</si>
  <si>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</si>
  <si>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</si>
  <si>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</si>
  <si>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</si>
  <si>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</si>
  <si>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</si>
  <si>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</si>
  <si>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</si>
  <si>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</si>
  <si>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</si>
  <si>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</si>
  <si>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</si>
  <si>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</si>
  <si>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</si>
  <si>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</si>
  <si>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</si>
  <si>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</si>
  <si>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</si>
  <si>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</si>
  <si>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</si>
  <si>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</si>
  <si>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</si>
  <si>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</si>
  <si>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</si>
  <si>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</si>
  <si>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</si>
  <si>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</si>
  <si>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</si>
  <si>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</si>
  <si>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</si>
  <si>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</si>
  <si>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</si>
  <si>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</si>
  <si>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</si>
  <si>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</si>
  <si>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</si>
  <si>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</si>
  <si>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</si>
  <si>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</si>
  <si>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</si>
  <si>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</si>
  <si>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</si>
  <si>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</si>
  <si>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</si>
  <si>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</si>
  <si>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</si>
  <si>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</si>
  <si>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</si>
  <si>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</si>
  <si>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</si>
  <si>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</si>
  <si>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</si>
  <si>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</si>
  <si>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</si>
  <si>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</si>
  <si>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</si>
  <si>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</si>
  <si>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</si>
  <si>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</si>
  <si>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</si>
  <si>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</si>
  <si>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</si>
  <si>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</si>
  <si>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</si>
  <si>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</si>
  <si>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</si>
  <si>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</si>
  <si>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</si>
  <si>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</si>
  <si>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</si>
  <si>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</si>
  <si>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</si>
  <si>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</si>
  <si>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</si>
  <si>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</si>
  <si>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</si>
  <si>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</si>
  <si>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</si>
  <si>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</si>
  <si>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</si>
  <si>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</si>
  <si>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</si>
  <si>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</si>
  <si>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</si>
  <si>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</si>
  <si>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</si>
  <si>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</si>
  <si>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</si>
  <si>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</si>
  <si>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</si>
  <si>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</si>
  <si>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</si>
  <si>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</si>
  <si>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</si>
  <si>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</si>
  <si>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</si>
  <si>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</si>
  <si>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</si>
  <si>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</si>
  <si>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</si>
  <si>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</si>
  <si>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</si>
  <si>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</si>
  <si>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</si>
  <si>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</si>
  <si>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</si>
  <si>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</si>
  <si>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</si>
  <si>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</si>
  <si>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</si>
  <si>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</si>
  <si>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</si>
  <si>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</si>
  <si>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</si>
  <si>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</si>
  <si>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</si>
  <si>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</si>
  <si>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</si>
  <si>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</si>
  <si>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</si>
  <si>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</si>
  <si>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</si>
  <si>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</si>
  <si>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</si>
  <si>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</si>
  <si>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</si>
  <si>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</si>
  <si>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</si>
  <si>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</si>
  <si>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</si>
  <si>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</si>
  <si>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</si>
  <si>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</si>
  <si>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</si>
  <si>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</si>
  <si>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</si>
  <si>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</si>
  <si>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</si>
  <si>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</si>
  <si>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</si>
  <si>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</si>
  <si>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</si>
  <si>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</si>
  <si>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</si>
  <si>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</si>
  <si>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</si>
  <si>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</si>
  <si>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</si>
  <si>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</si>
  <si>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</si>
  <si>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</si>
  <si>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</si>
  <si>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</si>
  <si>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</si>
  <si>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</si>
  <si>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</si>
  <si>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</si>
  <si>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</si>
  <si>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</si>
  <si>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</si>
  <si>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</si>
  <si>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</si>
  <si>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</si>
  <si>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</si>
  <si>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</si>
  <si>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</si>
  <si>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</si>
  <si>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</si>
  <si>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</si>
  <si>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</si>
  <si>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</si>
  <si>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</si>
  <si>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</si>
  <si>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</si>
  <si>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</si>
  <si>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</si>
  <si>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</si>
  <si>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</si>
  <si>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</si>
  <si>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</si>
  <si>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</si>
  <si>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</si>
  <si>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</si>
  <si>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</si>
  <si>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</si>
  <si>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</si>
  <si>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</si>
  <si>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</si>
  <si>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</si>
  <si>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</si>
  <si>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</si>
  <si>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</si>
  <si>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</si>
  <si>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</si>
  <si>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</si>
  <si>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</si>
  <si>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</si>
  <si>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</si>
  <si>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</si>
  <si>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</si>
  <si>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</si>
  <si>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</si>
  <si>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</si>
  <si>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</si>
  <si>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</si>
  <si>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</si>
  <si>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</si>
  <si>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</si>
  <si>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</si>
  <si>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</si>
  <si>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</si>
  <si>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</si>
  <si>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</si>
  <si>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</si>
  <si>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</si>
  <si>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</si>
  <si>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</si>
  <si>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</si>
  <si>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</si>
  <si>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</si>
  <si>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</si>
  <si>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</si>
  <si>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</si>
  <si>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</si>
  <si>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</si>
  <si>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</si>
  <si>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</si>
  <si>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</si>
  <si>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</si>
  <si>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</si>
  <si>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</si>
  <si>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</si>
  <si>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</si>
  <si>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</si>
  <si>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</si>
  <si>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</si>
  <si>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</si>
  <si>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</si>
  <si>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</si>
  <si>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</si>
  <si>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</si>
  <si>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</si>
  <si>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</si>
  <si>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</si>
  <si>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</si>
  <si>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</si>
  <si>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</si>
  <si>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</si>
  <si>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</si>
  <si>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</si>
  <si>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</si>
  <si>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</si>
  <si>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</si>
  <si>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</si>
  <si>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</si>
  <si>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</si>
  <si>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</si>
  <si>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</si>
  <si>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</si>
  <si>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</si>
  <si>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</si>
  <si>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</si>
  <si>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</si>
  <si>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</si>
  <si>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</si>
  <si>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</si>
  <si>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</si>
  <si>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</si>
  <si>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</si>
  <si>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</si>
  <si>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</si>
  <si>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</si>
  <si>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</si>
  <si>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</si>
  <si>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</si>
  <si>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</si>
  <si>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</si>
  <si>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</si>
  <si>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</si>
  <si>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</si>
  <si>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</si>
  <si>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</si>
  <si>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</si>
  <si>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</si>
  <si>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</si>
  <si>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</si>
  <si>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</si>
  <si>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</si>
  <si>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</si>
  <si>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</si>
  <si>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</si>
  <si>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</si>
  <si>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</si>
  <si>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</si>
  <si>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</si>
  <si>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</si>
  <si>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</si>
  <si>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</si>
  <si>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</si>
  <si>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</si>
  <si>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</si>
  <si>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</si>
  <si>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</si>
  <si>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</si>
  <si>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</si>
  <si>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</si>
  <si>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</si>
  <si>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</si>
  <si>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</si>
  <si>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</si>
  <si>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</si>
  <si>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</si>
  <si>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</si>
  <si>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</si>
  <si>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</si>
  <si>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</si>
  <si>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</si>
  <si>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</si>
  <si>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</si>
  <si>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</si>
  <si>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</si>
  <si>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</si>
  <si>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</si>
  <si>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</si>
  <si>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</si>
  <si>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</si>
  <si>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</si>
  <si>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</si>
  <si>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</si>
  <si>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</si>
  <si>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</si>
  <si>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</si>
  <si>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</si>
  <si>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</si>
  <si>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</si>
  <si>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</si>
  <si>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</si>
  <si>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</si>
  <si>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</si>
  <si>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</si>
  <si>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</si>
  <si>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</si>
  <si>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</si>
  <si>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</si>
  <si>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</si>
  <si>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</si>
  <si>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</si>
  <si>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</si>
  <si>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</si>
  <si>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</si>
  <si>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</si>
  <si>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</si>
  <si>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</si>
  <si>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</si>
  <si>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</si>
  <si>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</si>
  <si>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</si>
  <si>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</si>
  <si>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</si>
  <si>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</si>
  <si>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</si>
  <si>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</si>
  <si>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</si>
  <si>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</si>
  <si>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</si>
  <si>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</si>
  <si>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</si>
  <si>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</si>
  <si>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</si>
  <si>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</si>
  <si>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</si>
  <si>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</si>
  <si>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</si>
  <si>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</si>
  <si>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</si>
  <si>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</si>
  <si>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</si>
  <si>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</si>
  <si>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</si>
  <si>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</si>
  <si>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</si>
  <si>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</si>
  <si>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</si>
  <si>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</si>
  <si>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</si>
  <si>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</si>
  <si>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</si>
  <si>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</si>
  <si>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</si>
  <si>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</si>
  <si>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</si>
  <si>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</si>
  <si>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</si>
  <si>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</si>
  <si>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</si>
  <si>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</si>
  <si>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</si>
  <si>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</si>
  <si>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</si>
  <si>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</si>
  <si>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</si>
  <si>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</si>
  <si>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</si>
  <si>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</si>
  <si>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</si>
  <si>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</si>
  <si>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</si>
  <si>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</si>
  <si>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</si>
  <si>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</si>
  <si>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</si>
  <si>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</si>
  <si>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</si>
  <si>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</si>
  <si>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</si>
  <si>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</si>
  <si>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</si>
  <si>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</si>
  <si>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</si>
  <si>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</si>
  <si>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</si>
  <si>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</si>
  <si>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</si>
  <si>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</si>
  <si>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</si>
  <si>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</si>
  <si>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</si>
  <si>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</si>
  <si>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</si>
  <si>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</si>
  <si>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</si>
  <si>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</si>
  <si>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</si>
  <si>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</si>
  <si>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</si>
  <si>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</si>
  <si>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</si>
  <si>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</si>
  <si>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</si>
  <si>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</si>
  <si>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</si>
  <si>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</si>
  <si>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</si>
  <si>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</si>
  <si>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</si>
  <si>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</si>
  <si>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</si>
  <si>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</si>
  <si>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</si>
  <si>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</si>
  <si>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</si>
  <si>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</si>
  <si>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</si>
  <si>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</si>
  <si>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</si>
  <si>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</si>
  <si>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</si>
  <si>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</si>
  <si>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</si>
  <si>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</si>
  <si>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</si>
  <si>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</si>
  <si>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</si>
  <si>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</si>
  <si>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</si>
  <si>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</si>
  <si>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</si>
  <si>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</si>
  <si>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</si>
  <si>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</si>
  <si>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</si>
  <si>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</si>
  <si>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</si>
  <si>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</si>
  <si>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</si>
  <si>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</si>
  <si>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</si>
  <si>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</si>
  <si>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</si>
  <si>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</si>
  <si>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</si>
  <si>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</si>
  <si>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</si>
  <si>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</si>
  <si>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</si>
  <si>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</si>
  <si>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</si>
  <si>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</si>
  <si>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</si>
  <si>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</si>
  <si>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</si>
  <si>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</si>
  <si>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</si>
  <si>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</si>
  <si>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</si>
  <si>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</si>
  <si>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</si>
  <si>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</si>
  <si>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</si>
  <si>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</si>
  <si>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</si>
  <si>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</si>
  <si>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</si>
  <si>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</si>
  <si>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</si>
  <si>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</si>
  <si>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</si>
  <si>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</si>
  <si>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</si>
  <si>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</si>
  <si>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</si>
  <si>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</si>
  <si>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</si>
  <si>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</si>
  <si>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</si>
  <si>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</si>
  <si>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</si>
  <si>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</si>
  <si>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</si>
  <si>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</si>
  <si>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</si>
  <si>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</si>
  <si>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</si>
  <si>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</si>
  <si>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</si>
  <si>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</si>
  <si>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</si>
  <si>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</si>
  <si>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</si>
  <si>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</si>
  <si>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</si>
  <si>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</si>
  <si>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</si>
  <si>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</si>
  <si>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</si>
  <si>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</si>
  <si>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</si>
  <si>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</si>
  <si>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</si>
  <si>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</si>
  <si>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</si>
  <si>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</si>
  <si>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</si>
  <si>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</si>
  <si>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</si>
  <si>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</si>
  <si>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</si>
  <si>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</si>
  <si>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</si>
  <si>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</si>
  <si>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</si>
  <si>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</si>
  <si>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</si>
  <si>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</si>
  <si>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</si>
  <si>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</si>
  <si>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</si>
  <si>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</si>
  <si>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</si>
  <si>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</si>
  <si>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</si>
  <si>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</si>
  <si>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</si>
  <si>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</si>
  <si>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</si>
  <si>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</si>
  <si>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</si>
  <si>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</si>
  <si>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</si>
  <si>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</si>
  <si>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</si>
  <si>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</si>
  <si>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</si>
  <si>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</si>
  <si>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</si>
  <si>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</si>
  <si>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</si>
  <si>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</si>
  <si>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</si>
  <si>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</si>
  <si>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</si>
  <si>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</si>
  <si>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</si>
  <si>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</si>
  <si>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</si>
  <si>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</si>
  <si>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</si>
  <si>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</si>
  <si>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</si>
  <si>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</si>
  <si>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</si>
  <si>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</si>
  <si>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</si>
  <si>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</si>
  <si>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</si>
  <si>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</si>
  <si>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</si>
  <si>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</si>
  <si>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</si>
  <si>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</si>
  <si>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</si>
  <si>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</si>
  <si>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</si>
  <si>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</si>
  <si>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</si>
  <si>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</si>
  <si>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</si>
  <si>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</si>
  <si>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</si>
  <si>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</si>
  <si>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</si>
  <si>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</si>
  <si>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</si>
  <si>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</si>
  <si>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</si>
  <si>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</si>
  <si>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</si>
  <si>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</si>
  <si>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</si>
  <si>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</si>
  <si>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</si>
  <si>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</si>
  <si>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</si>
  <si>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</si>
  <si>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</si>
  <si>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</si>
  <si>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</si>
  <si>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</si>
  <si>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</si>
  <si>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</si>
  <si>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</si>
  <si>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</si>
  <si>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</si>
  <si>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</si>
  <si>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</si>
  <si>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</si>
  <si>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</si>
  <si>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</si>
  <si>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</si>
  <si>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</si>
  <si>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</si>
  <si>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</si>
  <si>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</si>
  <si>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</si>
  <si>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</si>
  <si>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</si>
  <si>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</si>
  <si>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</si>
  <si>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</si>
  <si>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</si>
  <si>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</si>
  <si>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</si>
  <si>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</si>
  <si>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</si>
  <si>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</si>
  <si>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</si>
  <si>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</si>
  <si>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</si>
  <si>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</si>
  <si>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</si>
  <si>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</si>
  <si>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</si>
  <si>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</si>
  <si>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</si>
  <si>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</si>
  <si>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</si>
  <si>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</si>
  <si>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</si>
  <si>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</si>
  <si>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</si>
  <si>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</si>
  <si>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</si>
  <si>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</si>
  <si>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</si>
  <si>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</si>
  <si>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</si>
  <si>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</si>
  <si>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</si>
  <si>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</si>
  <si>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</si>
  <si>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</si>
  <si>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</si>
  <si>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</si>
  <si>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</si>
  <si>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</si>
  <si>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</si>
  <si>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</si>
  <si>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</si>
  <si>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</si>
  <si>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</si>
  <si>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</si>
  <si>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</si>
  <si>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</si>
  <si>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</si>
  <si>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</si>
  <si>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</si>
  <si>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</si>
  <si>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</si>
  <si>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</si>
  <si>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</si>
  <si>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</si>
  <si>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</si>
  <si>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</si>
  <si>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</si>
  <si>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</si>
  <si>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</si>
  <si>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</si>
  <si>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</si>
  <si>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</si>
  <si>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</si>
  <si>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</si>
  <si>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</si>
  <si>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</si>
  <si>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</si>
  <si>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</si>
  <si>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</si>
  <si>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</si>
  <si>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</si>
  <si>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</si>
  <si>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</si>
  <si>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</si>
  <si>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</si>
  <si>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</si>
  <si>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</si>
  <si>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</si>
  <si>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</si>
  <si>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</si>
  <si>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</si>
  <si>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</si>
  <si>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</si>
  <si>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</si>
  <si>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</si>
  <si>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</si>
  <si>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</si>
  <si>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</si>
  <si>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</si>
  <si>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</si>
  <si>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</si>
  <si>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</si>
  <si>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</si>
  <si>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</si>
  <si>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</si>
  <si>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</si>
  <si>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</si>
  <si>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</si>
  <si>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</si>
  <si>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</si>
  <si>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</si>
  <si>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</si>
  <si>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</si>
  <si>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</si>
  <si>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</si>
  <si>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</si>
  <si>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</si>
  <si>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</si>
  <si>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</si>
  <si>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</si>
  <si>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</si>
  <si>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</si>
  <si>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</si>
  <si>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</si>
  <si>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</si>
  <si>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</si>
  <si>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</si>
  <si>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</si>
  <si>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</si>
  <si>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</si>
  <si>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</si>
  <si>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</si>
  <si>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</si>
  <si>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</si>
  <si>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</si>
  <si>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</si>
  <si>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</si>
  <si>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</si>
  <si>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</si>
  <si>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</si>
  <si>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</si>
  <si>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</si>
  <si>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</si>
  <si>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</si>
  <si>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</si>
  <si>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</si>
  <si>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</si>
  <si>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</si>
  <si>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</si>
  <si>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</si>
  <si>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</si>
  <si>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</si>
  <si>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</si>
  <si>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</si>
  <si>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</si>
  <si>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</si>
  <si>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</si>
  <si>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</si>
  <si>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</si>
  <si>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</si>
  <si>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</si>
  <si>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</si>
  <si>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</si>
  <si>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</si>
  <si>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</si>
  <si>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</si>
  <si>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</si>
  <si>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</si>
  <si>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</si>
  <si>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</si>
  <si>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</si>
  <si>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</si>
  <si>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</si>
  <si>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</si>
  <si>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</si>
  <si>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</si>
  <si>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</si>
  <si>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</si>
  <si>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</si>
  <si>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</si>
  <si>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</si>
  <si>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</si>
  <si>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</si>
  <si>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</si>
  <si>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</si>
  <si>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</si>
  <si>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</si>
  <si>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</si>
  <si>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</si>
  <si>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</si>
  <si>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</si>
  <si>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</si>
  <si>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</si>
  <si>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</si>
  <si>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</si>
  <si>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</si>
  <si>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</si>
  <si>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</si>
  <si>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</si>
  <si>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</si>
  <si>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</si>
  <si>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</si>
  <si>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</si>
  <si>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</si>
  <si>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</si>
  <si>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</si>
  <si>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</si>
  <si>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</si>
  <si>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</si>
  <si>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</si>
  <si>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</si>
  <si>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</si>
  <si>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</si>
  <si>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</si>
  <si>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</si>
  <si>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</si>
  <si>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</si>
  <si>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</si>
  <si>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</si>
  <si>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</si>
  <si>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</si>
  <si>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</si>
  <si>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</si>
  <si>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</si>
  <si>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</si>
  <si>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</si>
  <si>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</si>
  <si>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</si>
  <si>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</si>
  <si>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</si>
  <si>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</si>
  <si>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</si>
  <si>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</si>
  <si>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</si>
  <si>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</si>
  <si>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</si>
  <si>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</si>
  <si>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</si>
  <si>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</si>
  <si>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</si>
  <si>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</si>
  <si>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</si>
  <si>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</si>
  <si>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</si>
  <si>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</si>
  <si>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</si>
  <si>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</si>
  <si>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</si>
  <si>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</si>
  <si>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</si>
  <si>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</si>
  <si>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</si>
  <si>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</si>
  <si>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</si>
  <si>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</si>
  <si>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</si>
  <si>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</si>
  <si>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</si>
  <si>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</si>
  <si>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</si>
  <si>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</si>
  <si>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</si>
  <si>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</si>
  <si>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</si>
  <si>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</si>
  <si>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</si>
  <si>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</si>
  <si>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</si>
  <si>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</si>
  <si>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</si>
  <si>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</si>
  <si>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</si>
  <si>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</si>
  <si>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</si>
  <si>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</si>
  <si>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</si>
  <si>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</si>
  <si>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</si>
  <si>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</si>
  <si>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</si>
  <si>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</si>
  <si>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</si>
  <si>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</si>
  <si>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</si>
  <si>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</si>
  <si>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</si>
  <si>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</si>
  <si>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</si>
  <si>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</si>
  <si>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</si>
  <si>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</si>
  <si>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</si>
  <si>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</si>
  <si>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</si>
  <si>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</si>
  <si>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</si>
  <si>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</si>
  <si>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</si>
  <si>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</si>
  <si>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</si>
  <si>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</si>
  <si>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</si>
  <si>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</si>
  <si>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</si>
  <si>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</si>
  <si>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</si>
  <si>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</si>
  <si>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</si>
  <si>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</si>
  <si>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</si>
  <si>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</si>
  <si>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</si>
  <si>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</si>
  <si>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</si>
  <si>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</si>
  <si>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</si>
  <si>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</si>
  <si>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</si>
  <si>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</si>
  <si>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</si>
  <si>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</si>
  <si>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</si>
  <si>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</si>
  <si>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</si>
  <si>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</si>
  <si>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</si>
  <si>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</si>
  <si>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</si>
  <si>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</si>
  <si>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</si>
  <si>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</si>
  <si>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</si>
  <si>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</si>
  <si>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</si>
  <si>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</si>
  <si>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</si>
  <si>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</si>
  <si>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</si>
  <si>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</si>
  <si>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</si>
  <si>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</si>
  <si>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</si>
  <si>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</si>
  <si>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</si>
  <si>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</si>
  <si>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</si>
  <si>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</si>
  <si>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</si>
  <si>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</si>
  <si>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</si>
  <si>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</si>
  <si>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</si>
  <si>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</si>
  <si>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</si>
  <si>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</si>
  <si>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</si>
  <si>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</si>
  <si>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</si>
  <si>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</si>
  <si>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</si>
  <si>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</si>
  <si>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</si>
  <si>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</si>
  <si>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</si>
  <si>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</si>
  <si>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</si>
  <si>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</si>
  <si>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</si>
  <si>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</si>
  <si>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</si>
  <si>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</si>
  <si>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</si>
  <si>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</si>
  <si>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</si>
  <si>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</si>
  <si>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</si>
  <si>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</si>
  <si>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</si>
  <si>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</si>
  <si>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</si>
  <si>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</si>
  <si>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</si>
  <si>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</si>
  <si>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</si>
  <si>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</si>
  <si>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</si>
  <si>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</si>
  <si>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</si>
  <si>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</si>
  <si>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</si>
  <si>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</si>
  <si>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</si>
  <si>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</si>
  <si>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</si>
  <si>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</si>
  <si>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</si>
  <si>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</si>
  <si>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</si>
  <si>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</si>
  <si>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</si>
  <si>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</si>
  <si>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</si>
  <si>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</si>
  <si>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</si>
  <si>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</si>
  <si>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</si>
  <si>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</si>
  <si>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</si>
  <si>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</si>
  <si>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</si>
  <si>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</si>
  <si>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</si>
  <si>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</si>
  <si>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</si>
  <si>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</si>
  <si>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</si>
  <si>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</si>
  <si>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</si>
  <si>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</si>
  <si>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</si>
  <si>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</si>
  <si>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</si>
  <si>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</si>
  <si>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</si>
  <si>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</si>
  <si>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</si>
  <si>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</si>
  <si>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</si>
  <si>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</si>
  <si>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</si>
  <si>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</si>
  <si>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</si>
  <si>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</si>
  <si>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</si>
  <si>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</si>
  <si>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</si>
  <si>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</si>
  <si>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</si>
  <si>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</si>
  <si>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</si>
  <si>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</si>
  <si>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</si>
  <si>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</si>
  <si>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</si>
  <si>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</si>
  <si>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</si>
  <si>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</si>
  <si>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</si>
  <si>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</si>
  <si>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</si>
  <si>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</si>
  <si>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</si>
  <si>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</si>
  <si>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</si>
  <si>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</si>
  <si>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</si>
  <si>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</si>
  <si>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</si>
  <si>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</si>
  <si>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</si>
  <si>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</si>
  <si>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</si>
  <si>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</si>
  <si>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</si>
  <si>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</si>
  <si>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</si>
  <si>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</si>
  <si>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</si>
  <si>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</si>
  <si>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</si>
  <si>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</si>
  <si>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</si>
  <si>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</si>
  <si>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</si>
  <si>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</si>
  <si>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</si>
  <si>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</si>
  <si>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</si>
  <si>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</si>
  <si>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</si>
  <si>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</si>
  <si>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</si>
  <si>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</si>
  <si>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</si>
  <si>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</si>
  <si>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</si>
  <si>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</si>
  <si>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</si>
  <si>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</si>
  <si>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</si>
  <si>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</si>
  <si>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</si>
  <si>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</si>
  <si>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</si>
  <si>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</si>
  <si>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</si>
  <si>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</si>
  <si>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</si>
  <si>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</si>
  <si>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</si>
  <si>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</si>
  <si>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</si>
  <si>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</si>
  <si>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</si>
  <si>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</si>
  <si>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</si>
  <si>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</si>
  <si>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</si>
  <si>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</si>
  <si>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</si>
  <si>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</si>
  <si>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</si>
  <si>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</si>
  <si>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</si>
  <si>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</si>
  <si>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</si>
  <si>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</si>
  <si>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</si>
  <si>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</si>
  <si>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</si>
  <si>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</si>
  <si>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</si>
  <si>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</si>
  <si>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</si>
  <si>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</si>
  <si>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</si>
  <si>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</si>
  <si>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</si>
  <si>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</si>
  <si>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</si>
  <si>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</si>
  <si>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</si>
  <si>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</si>
  <si>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</si>
  <si>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</si>
  <si>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</si>
  <si>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</si>
  <si>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</si>
  <si>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</si>
  <si>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</si>
  <si>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</si>
  <si>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</si>
  <si>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</si>
  <si>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</si>
  <si>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</si>
  <si>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</si>
  <si>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</si>
  <si>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</si>
  <si>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</si>
  <si>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</si>
  <si>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</si>
  <si>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</si>
  <si>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</si>
  <si>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</si>
  <si>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</si>
  <si>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</si>
  <si>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</si>
  <si>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</si>
  <si>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</si>
  <si>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</si>
  <si>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</si>
  <si>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</si>
  <si>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</si>
  <si>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</si>
  <si>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</si>
  <si>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</si>
  <si>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</si>
  <si>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</si>
  <si>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</si>
  <si>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</si>
  <si>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</si>
  <si>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</si>
  <si>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</si>
  <si>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</si>
  <si>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</si>
  <si>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</si>
  <si>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</si>
  <si>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</si>
  <si>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</si>
  <si>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</si>
  <si>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</si>
  <si>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</si>
  <si>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</si>
  <si>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</si>
  <si>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</si>
  <si>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</si>
  <si>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</si>
  <si>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</si>
  <si>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</si>
  <si>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</si>
  <si>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</si>
  <si>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</si>
  <si>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</si>
  <si>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</si>
  <si>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</si>
  <si>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</si>
  <si>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</si>
  <si>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</si>
  <si>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</si>
  <si>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</si>
  <si>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</si>
  <si>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</si>
  <si>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</si>
  <si>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</si>
  <si>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</si>
  <si>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</si>
  <si>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</si>
  <si>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</si>
  <si>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</si>
  <si>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</si>
  <si>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</si>
  <si>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</si>
  <si>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</si>
  <si>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</si>
  <si>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</si>
  <si>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</si>
  <si>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</si>
  <si>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</si>
  <si>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</si>
  <si>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</si>
  <si>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</si>
  <si>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</si>
  <si>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</si>
  <si>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</si>
  <si>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</si>
  <si>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</si>
  <si>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</si>
  <si>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</si>
  <si>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</si>
  <si>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</si>
  <si>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</si>
  <si>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</si>
  <si>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</si>
  <si>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</si>
  <si>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</si>
  <si>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</si>
  <si>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</si>
  <si>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</si>
  <si>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</si>
  <si>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</si>
  <si>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</si>
  <si>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</si>
  <si>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</si>
  <si>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</si>
  <si>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</si>
  <si>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</si>
  <si>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</si>
  <si>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</si>
  <si>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</si>
  <si>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</si>
  <si>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</si>
  <si>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</si>
  <si>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</si>
  <si>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</si>
  <si>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</si>
  <si>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</si>
  <si>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</si>
  <si>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</si>
  <si>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</si>
  <si>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</si>
  <si>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</si>
  <si>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</si>
  <si>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</si>
  <si>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</si>
  <si>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</si>
  <si>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</si>
  <si>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</si>
  <si>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</si>
  <si>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</si>
  <si>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</si>
  <si>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</si>
  <si>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</si>
  <si>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</si>
  <si>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</si>
  <si>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</si>
  <si>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</si>
  <si>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</si>
  <si>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</si>
  <si>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</si>
  <si>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</si>
  <si>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</si>
  <si>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</si>
  <si>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</si>
  <si>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</si>
  <si>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</si>
  <si>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</si>
  <si>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</si>
  <si>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</si>
  <si>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</si>
  <si>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</si>
  <si>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</si>
  <si>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</si>
  <si>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</si>
  <si>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</si>
  <si>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</si>
  <si>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</si>
  <si>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</si>
  <si>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</si>
  <si>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</si>
  <si>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</si>
  <si>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</si>
  <si>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</si>
  <si>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</si>
  <si>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</si>
  <si>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</si>
  <si>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</si>
  <si>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</si>
  <si>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</si>
  <si>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</si>
  <si>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</si>
  <si>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</si>
  <si>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</si>
  <si>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</si>
  <si>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</si>
  <si>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</si>
  <si>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</si>
  <si>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</si>
  <si>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</si>
  <si>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</si>
  <si>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</si>
  <si>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</si>
  <si>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</si>
  <si>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</si>
  <si>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</si>
  <si>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</si>
  <si>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</si>
  <si>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</si>
  <si>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</si>
  <si>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</si>
  <si>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</si>
  <si>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</si>
  <si>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</si>
  <si>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</si>
  <si>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</si>
  <si>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</si>
  <si>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</si>
  <si>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</si>
  <si>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</si>
  <si>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</si>
  <si>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</si>
  <si>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</si>
  <si>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</si>
  <si>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</si>
  <si>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</si>
  <si>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</si>
  <si>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</si>
  <si>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</si>
  <si>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</si>
  <si>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</si>
  <si>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</si>
  <si>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</si>
  <si>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</si>
  <si>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</si>
  <si>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</si>
  <si>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</si>
  <si>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</si>
  <si>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</si>
  <si>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</si>
  <si>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</si>
  <si>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</si>
  <si>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</si>
  <si>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</si>
  <si>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</si>
  <si>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</si>
  <si>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</si>
  <si>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</si>
  <si>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</si>
  <si>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</si>
  <si>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</si>
  <si>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</si>
  <si>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</si>
  <si>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</si>
  <si>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</si>
  <si>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</si>
  <si>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</si>
  <si>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</si>
  <si>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</si>
  <si>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</si>
  <si>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</si>
  <si>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</si>
  <si>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</si>
  <si>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</si>
  <si>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</si>
  <si>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</si>
  <si>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</si>
  <si>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</si>
  <si>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</si>
  <si>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</si>
  <si>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</si>
  <si>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</si>
  <si>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</si>
  <si>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</si>
  <si>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</si>
  <si>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</si>
  <si>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</si>
  <si>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</si>
  <si>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</si>
  <si>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</si>
  <si>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</si>
  <si>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</si>
  <si>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</si>
  <si>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</si>
  <si>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</si>
  <si>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</si>
  <si>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</si>
  <si>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</si>
  <si>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</si>
  <si>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</si>
  <si>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</si>
  <si>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</si>
  <si>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</si>
  <si>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</si>
  <si>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</si>
  <si>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</si>
  <si>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</si>
  <si>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</si>
  <si>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</si>
  <si>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</si>
  <si>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</si>
  <si>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</si>
  <si>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</si>
  <si>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</si>
  <si>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</si>
  <si>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</si>
  <si>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</si>
  <si>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</si>
  <si>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</si>
  <si>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</si>
  <si>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</si>
  <si>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</si>
  <si>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</si>
  <si>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</si>
  <si>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</si>
  <si>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</si>
  <si>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</si>
  <si>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</si>
  <si>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</si>
  <si>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</si>
  <si>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</si>
  <si>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</si>
  <si>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</si>
  <si>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</si>
  <si>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</si>
  <si>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</si>
  <si>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</si>
  <si>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</si>
  <si>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</si>
  <si>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</si>
  <si>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</si>
  <si>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</si>
  <si>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</si>
  <si>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</si>
  <si>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</si>
  <si>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</si>
  <si>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</si>
  <si>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</si>
  <si>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</si>
  <si>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</si>
  <si>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</si>
  <si>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</si>
  <si>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</si>
  <si>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</si>
  <si>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</si>
  <si>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</si>
  <si>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</si>
  <si>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</si>
  <si>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</si>
  <si>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</si>
  <si>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</si>
  <si>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</si>
  <si>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</si>
  <si>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</si>
  <si>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</si>
  <si>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</si>
  <si>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</si>
  <si>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</si>
  <si>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</si>
  <si>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</si>
  <si>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</si>
  <si>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</si>
  <si>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</si>
  <si>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</si>
  <si>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</si>
  <si>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</si>
  <si>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</si>
  <si>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</si>
  <si>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</si>
  <si>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</si>
  <si>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</si>
  <si>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</si>
  <si>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</si>
  <si>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</si>
  <si>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</si>
  <si>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</si>
  <si>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</si>
  <si>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</si>
  <si>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</si>
  <si>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</si>
  <si>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</si>
  <si>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</si>
  <si>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</si>
  <si>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</si>
  <si>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</si>
  <si>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</si>
  <si>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</si>
  <si>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</si>
  <si>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</si>
  <si>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</si>
  <si>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</si>
  <si>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</si>
  <si>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</si>
  <si>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</si>
  <si>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</si>
  <si>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</si>
  <si>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</si>
  <si>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</si>
  <si>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</si>
  <si>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</si>
  <si>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</si>
  <si>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</si>
  <si>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</si>
  <si>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</si>
  <si>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</si>
  <si>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</si>
  <si>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</si>
  <si>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</si>
  <si>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</si>
  <si>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</si>
  <si>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</si>
  <si>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</si>
  <si>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</si>
  <si>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</si>
  <si>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</si>
  <si>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</si>
  <si>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</si>
  <si>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</si>
  <si>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</si>
  <si>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</si>
  <si>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</si>
  <si>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</si>
  <si>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</si>
  <si>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</si>
  <si>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</si>
  <si>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</si>
  <si>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</si>
  <si>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</si>
  <si>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</si>
  <si>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</si>
  <si>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</si>
  <si>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</si>
  <si>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</si>
  <si>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</si>
  <si>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</si>
  <si>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</si>
  <si>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</si>
  <si>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</si>
  <si>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</si>
  <si>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</si>
  <si>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</si>
  <si>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</si>
  <si>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</si>
  <si>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</si>
  <si>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</si>
  <si>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</si>
  <si>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</si>
  <si>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</si>
  <si>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</si>
  <si>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</si>
  <si>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</si>
  <si>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</si>
  <si>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</si>
  <si>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</si>
  <si>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</si>
  <si>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</si>
  <si>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</si>
  <si>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</si>
  <si>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</si>
  <si>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</si>
  <si>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</si>
  <si>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</si>
  <si>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</si>
  <si>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</si>
  <si>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</si>
  <si>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</si>
  <si>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</si>
  <si>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</si>
  <si>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</si>
  <si>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</si>
  <si>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</si>
  <si>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</si>
  <si>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</si>
  <si>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</si>
  <si>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</si>
  <si>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</si>
  <si>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</si>
  <si>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</si>
  <si>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</si>
  <si>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</si>
  <si>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</si>
  <si>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</si>
  <si>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</si>
  <si>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</si>
  <si>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</si>
  <si>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</si>
  <si>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</si>
  <si>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</si>
  <si>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</si>
  <si>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</si>
  <si>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</si>
  <si>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</si>
  <si>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</si>
  <si>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</si>
  <si>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</si>
  <si>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</si>
  <si>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</si>
  <si>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</si>
  <si>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</si>
  <si>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</si>
  <si>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</si>
  <si>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</si>
  <si>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</si>
  <si>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</si>
  <si>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</si>
  <si>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</si>
  <si>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</si>
  <si>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</si>
  <si>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</si>
  <si>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</si>
  <si>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</si>
  <si>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</si>
  <si>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</si>
  <si>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</si>
  <si>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</si>
  <si>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</si>
  <si>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</si>
  <si>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</si>
  <si>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</si>
  <si>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</si>
  <si>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</si>
  <si>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</si>
  <si>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</si>
  <si>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</si>
  <si>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</si>
  <si>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</si>
  <si>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</si>
  <si>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</si>
  <si>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</si>
  <si>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</si>
  <si>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</si>
  <si>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</si>
  <si>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</si>
  <si>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</si>
  <si>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</si>
  <si>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</si>
  <si>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</si>
  <si>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</si>
  <si>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</si>
  <si>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</si>
  <si>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</si>
  <si>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</si>
  <si>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</si>
  <si>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</si>
  <si>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</si>
  <si>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</si>
  <si>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</si>
  <si>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</si>
  <si>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</si>
  <si>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</si>
  <si>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</si>
  <si>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</si>
  <si>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</si>
  <si>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</si>
  <si>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</si>
  <si>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</si>
  <si>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</si>
  <si>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</si>
  <si>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</si>
  <si>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</si>
  <si>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</si>
  <si>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</si>
  <si>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</si>
  <si>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</si>
  <si>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</si>
  <si>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</si>
  <si>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</si>
  <si>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</si>
  <si>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</si>
  <si>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</si>
  <si>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</si>
  <si>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</si>
  <si>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</si>
  <si>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</si>
  <si>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</si>
  <si>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</si>
  <si>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</si>
  <si>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</si>
  <si>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</si>
  <si>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</si>
  <si>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</si>
  <si>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</si>
  <si>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</si>
  <si>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</si>
  <si>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</si>
  <si>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</si>
  <si>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</si>
  <si>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</si>
  <si>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</si>
  <si>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</si>
  <si>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</si>
  <si>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</si>
  <si>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</si>
  <si>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</si>
  <si>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</si>
  <si>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</si>
  <si>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</si>
  <si>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</si>
  <si>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</si>
  <si>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</si>
  <si>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</si>
  <si>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</si>
  <si>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</si>
  <si>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</si>
  <si>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</si>
  <si>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</si>
  <si>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</si>
  <si>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</si>
  <si>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</si>
  <si>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</si>
  <si>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</si>
  <si>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</si>
  <si>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</si>
  <si>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</si>
  <si>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</si>
  <si>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</si>
  <si>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</si>
  <si>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</si>
  <si>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</si>
  <si>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</si>
  <si>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</si>
  <si>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</si>
  <si>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</si>
  <si>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</si>
  <si>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</si>
  <si>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</si>
  <si>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</si>
  <si>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</si>
  <si>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</si>
  <si>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</si>
  <si>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</si>
  <si>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</si>
  <si>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</si>
  <si>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</si>
  <si>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</si>
  <si>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</si>
  <si>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</si>
  <si>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</si>
  <si>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</si>
  <si>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</si>
  <si>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</si>
  <si>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</si>
  <si>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</si>
  <si>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</si>
  <si>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</si>
  <si>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</si>
  <si>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</si>
  <si>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</si>
  <si>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</si>
  <si>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</si>
  <si>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</si>
  <si>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</si>
  <si>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</si>
  <si>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</si>
  <si>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</si>
  <si>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</si>
  <si>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</si>
  <si>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</si>
  <si>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</si>
  <si>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</si>
  <si>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</si>
  <si>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</si>
  <si>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</si>
  <si>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</si>
  <si>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</si>
  <si>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</si>
  <si>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</si>
  <si>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</si>
  <si>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</si>
  <si>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</si>
  <si>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</si>
  <si>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</si>
  <si>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</si>
  <si>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</si>
  <si>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</si>
  <si>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</si>
  <si>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</si>
  <si>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</si>
  <si>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</si>
  <si>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</si>
  <si>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</si>
  <si>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</si>
  <si>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</si>
  <si>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</si>
  <si>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</si>
  <si>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</si>
  <si>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</si>
  <si>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</si>
  <si>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</si>
  <si>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</si>
  <si>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</si>
  <si>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</si>
  <si>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</si>
  <si>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</si>
  <si>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</si>
  <si>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</si>
  <si>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</si>
  <si>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</si>
  <si>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</si>
  <si>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</si>
  <si>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</si>
  <si>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</si>
  <si>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</si>
  <si>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</si>
  <si>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</si>
  <si>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</si>
  <si>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</si>
  <si>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</si>
  <si>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</si>
  <si>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</si>
  <si>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</si>
  <si>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</si>
  <si>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</si>
  <si>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</si>
  <si>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</si>
  <si>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</si>
  <si>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</si>
  <si>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</si>
  <si>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</si>
  <si>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</si>
  <si>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</si>
  <si>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</si>
  <si>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</si>
  <si>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</si>
  <si>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</si>
  <si>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</si>
  <si>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</si>
  <si>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</si>
  <si>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</si>
  <si>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</si>
  <si>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</si>
  <si>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</si>
  <si>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</si>
  <si>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</si>
  <si>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</si>
  <si>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</si>
  <si>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</si>
  <si>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</si>
  <si>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</si>
  <si>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</si>
  <si>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</si>
  <si>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</si>
  <si>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</si>
  <si>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</si>
  <si>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</si>
  <si>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</si>
  <si>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</si>
  <si>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</si>
  <si>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</si>
  <si>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</si>
  <si>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</si>
  <si>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</si>
  <si>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</si>
  <si>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</si>
  <si>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</si>
  <si>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</si>
  <si>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</si>
  <si>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</si>
  <si>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</si>
  <si>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</si>
  <si>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</si>
  <si>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</si>
  <si>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</si>
  <si>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</si>
  <si>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</si>
  <si>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</si>
  <si>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</si>
  <si>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</si>
  <si>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</si>
  <si>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</si>
  <si>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</si>
  <si>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</si>
  <si>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</si>
  <si>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</si>
  <si>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</si>
  <si>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</si>
  <si>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</si>
  <si>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</si>
  <si>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</si>
  <si>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</si>
  <si>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</si>
  <si>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</si>
  <si>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</si>
  <si>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</si>
  <si>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</si>
  <si>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</si>
  <si>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</si>
  <si>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</si>
  <si>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</si>
  <si>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</si>
  <si>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</si>
  <si>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</si>
  <si>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</si>
  <si>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</si>
  <si>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</si>
  <si>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</si>
  <si>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</si>
  <si>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</si>
  <si>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</si>
  <si>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</si>
  <si>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</si>
  <si>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</si>
  <si>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</si>
  <si>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</si>
  <si>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</si>
  <si>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</si>
  <si>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</si>
  <si>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</si>
  <si>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</si>
  <si>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</si>
  <si>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</si>
  <si>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</si>
  <si>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</si>
  <si>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</si>
  <si>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</si>
  <si>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</si>
  <si>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</si>
  <si>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</si>
  <si>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</si>
  <si>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</si>
  <si>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</si>
  <si>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</si>
  <si>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</si>
  <si>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</si>
  <si>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</si>
  <si>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</si>
  <si>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</si>
  <si>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</si>
  <si>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</si>
  <si>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</si>
  <si>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</si>
  <si>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</si>
  <si>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</si>
  <si>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</si>
  <si>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</si>
  <si>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</si>
  <si>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</si>
  <si>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</si>
  <si>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</si>
  <si>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</si>
  <si>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</si>
  <si>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</si>
  <si>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</si>
  <si>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</si>
  <si>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</si>
  <si>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</si>
  <si>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</si>
  <si>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</si>
  <si>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</si>
  <si>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</si>
  <si>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</si>
  <si>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</si>
  <si>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</si>
  <si>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</si>
  <si>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</si>
  <si>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</si>
  <si>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</si>
  <si>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</si>
  <si>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</si>
  <si>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</si>
  <si>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</si>
  <si>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</si>
  <si>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</si>
  <si>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</si>
  <si>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</si>
  <si>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</si>
  <si>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</si>
  <si>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</si>
  <si>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</si>
  <si>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</si>
  <si>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</si>
  <si>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</si>
  <si>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</si>
  <si>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</si>
  <si>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</si>
  <si>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</si>
  <si>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</si>
  <si>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</si>
  <si>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</si>
  <si>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</si>
  <si>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</si>
  <si>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</si>
  <si>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</si>
  <si>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</si>
  <si>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</si>
  <si>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</si>
  <si>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</si>
  <si>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</si>
  <si>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</si>
  <si>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</si>
  <si>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</si>
  <si>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</si>
  <si>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</si>
  <si>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</si>
  <si>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</si>
  <si>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</si>
  <si>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</si>
  <si>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</si>
  <si>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</si>
  <si>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</si>
  <si>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</si>
  <si>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</si>
  <si>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</si>
  <si>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</si>
  <si>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</si>
  <si>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</si>
  <si>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</si>
  <si>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</si>
  <si>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</si>
  <si>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</si>
  <si>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</si>
  <si>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</si>
  <si>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</si>
  <si>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</si>
  <si>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</si>
  <si>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</si>
  <si>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</si>
  <si>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</si>
  <si>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</si>
  <si>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</si>
  <si>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</si>
  <si>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</si>
  <si>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</si>
  <si>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</si>
  <si>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</si>
  <si>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</si>
  <si>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</si>
  <si>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</si>
  <si>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</si>
  <si>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</si>
  <si>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</si>
  <si>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</si>
  <si>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</si>
  <si>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</si>
  <si>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</si>
  <si>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</si>
  <si>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</si>
  <si>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</si>
  <si>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</si>
  <si>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</si>
  <si>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</si>
  <si>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</si>
  <si>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</si>
  <si>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</si>
  <si>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</si>
  <si>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</si>
  <si>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</si>
  <si>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</si>
  <si>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</si>
  <si>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</si>
  <si>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</si>
  <si>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</si>
  <si>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</si>
  <si>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</si>
  <si>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</si>
  <si>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</si>
  <si>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</si>
  <si>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</si>
  <si>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</si>
  <si>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</si>
  <si>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</si>
  <si>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</si>
  <si>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</si>
  <si>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</si>
  <si>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</si>
  <si>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</si>
  <si>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</si>
  <si>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</si>
  <si>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</si>
  <si>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</si>
  <si>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</si>
  <si>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</si>
  <si>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</si>
  <si>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</si>
  <si>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</si>
  <si>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</si>
  <si>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</si>
  <si>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</si>
  <si>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</si>
  <si>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</si>
  <si>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</si>
  <si>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</si>
  <si>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</si>
  <si>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</si>
  <si>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</si>
  <si>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</si>
  <si>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</si>
  <si>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</si>
  <si>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</si>
  <si>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</si>
  <si>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</si>
  <si>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</si>
  <si>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</si>
  <si>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</si>
  <si>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</si>
  <si>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</si>
  <si>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</si>
  <si>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</si>
  <si>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</si>
  <si>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</si>
  <si>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</si>
  <si>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</si>
  <si>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</si>
  <si>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</si>
  <si>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</si>
  <si>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</si>
  <si>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</si>
  <si>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</si>
  <si>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</si>
  <si>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</si>
  <si>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</si>
  <si>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</si>
  <si>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</si>
  <si>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</si>
  <si>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</si>
  <si>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</si>
  <si>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</si>
  <si>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</si>
  <si>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</si>
  <si>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</si>
  <si>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</si>
  <si>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</si>
  <si>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</si>
  <si>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</si>
  <si>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</si>
  <si>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</si>
  <si>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</si>
  <si>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</si>
  <si>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</si>
  <si>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</si>
  <si>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</si>
  <si>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</si>
  <si>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</si>
  <si>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</si>
  <si>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</si>
  <si>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</si>
  <si>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</si>
  <si>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</si>
  <si>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</si>
  <si>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</si>
  <si>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</si>
  <si>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</si>
  <si>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</si>
  <si>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</si>
  <si>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</si>
  <si>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</si>
  <si>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</si>
  <si>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</si>
  <si>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</si>
  <si>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</si>
  <si>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</si>
  <si>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</si>
  <si>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</si>
  <si>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</si>
  <si>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</si>
  <si>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</si>
  <si>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</si>
  <si>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</si>
  <si>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</si>
  <si>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</si>
  <si>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</si>
  <si>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</si>
  <si>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</si>
  <si>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</si>
  <si>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</si>
  <si>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</si>
  <si>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</si>
  <si>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</si>
  <si>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</si>
  <si>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</si>
  <si>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</si>
  <si>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</si>
  <si>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</si>
  <si>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</si>
  <si>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</si>
  <si>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</si>
  <si>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</si>
  <si>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</si>
  <si>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</si>
  <si>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</si>
  <si>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</si>
  <si>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</si>
  <si>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</si>
  <si>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</si>
  <si>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</si>
  <si>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</si>
  <si>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</si>
  <si>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</si>
  <si>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</si>
  <si>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</si>
  <si>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</si>
  <si>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</si>
  <si>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</si>
  <si>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</si>
  <si>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</si>
  <si>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</si>
  <si>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</si>
  <si>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</si>
  <si>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</si>
  <si>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</si>
  <si>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</si>
  <si>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</si>
  <si>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</si>
  <si>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</si>
  <si>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</si>
  <si>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</si>
  <si>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</si>
  <si>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</si>
  <si>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</si>
  <si>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</si>
  <si>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</si>
  <si>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</si>
  <si>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</si>
  <si>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</si>
  <si>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</si>
  <si>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</si>
  <si>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</si>
  <si>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</si>
  <si>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</si>
  <si>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</si>
  <si>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</si>
  <si>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</si>
  <si>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</si>
  <si>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</si>
  <si>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</si>
  <si>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</si>
  <si>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</si>
  <si>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</si>
  <si>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</si>
  <si>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</si>
  <si>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</si>
  <si>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</si>
  <si>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</si>
  <si>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</si>
  <si>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</si>
  <si>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</si>
  <si>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</si>
  <si>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</si>
  <si>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</si>
  <si>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</si>
  <si>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</si>
  <si>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</si>
  <si>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</si>
  <si>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</si>
  <si>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</si>
  <si>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</si>
  <si>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</si>
  <si>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</si>
  <si>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</si>
  <si>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</si>
  <si>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</si>
  <si>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</si>
  <si>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</si>
  <si>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</si>
  <si>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</si>
  <si>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</si>
  <si>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</si>
  <si>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</si>
  <si>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</si>
  <si>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</si>
  <si>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</si>
  <si>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</si>
  <si>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</si>
  <si>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</si>
  <si>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</si>
  <si>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</si>
  <si>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</si>
  <si>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</si>
  <si>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</si>
  <si>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</si>
  <si>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</si>
  <si>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</si>
  <si>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</si>
  <si>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</si>
  <si>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</si>
  <si>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</si>
  <si>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</si>
  <si>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</si>
  <si>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</si>
  <si>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</si>
  <si>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</si>
  <si>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</si>
  <si>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</si>
  <si>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</si>
  <si>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</si>
  <si>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</si>
  <si>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</si>
  <si>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</si>
  <si>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</si>
  <si>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</si>
  <si>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</si>
  <si>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</si>
  <si>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</si>
  <si>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</si>
  <si>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</si>
  <si>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</si>
  <si>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</si>
  <si>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</si>
  <si>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</si>
  <si>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</si>
  <si>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</si>
  <si>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</si>
  <si>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</si>
  <si>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</si>
  <si>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</si>
  <si>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</si>
  <si>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</si>
  <si>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</si>
  <si>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</si>
  <si>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</si>
  <si>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</si>
  <si>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</si>
  <si>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</si>
  <si>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</si>
  <si>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</si>
  <si>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</si>
  <si>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</si>
  <si>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</si>
  <si>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</si>
  <si>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</si>
  <si>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</si>
  <si>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</si>
  <si>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</si>
  <si>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</si>
  <si>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</si>
  <si>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</si>
  <si>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</si>
  <si>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</si>
  <si>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</si>
  <si>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</si>
  <si>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</si>
  <si>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</si>
  <si>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</si>
  <si>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</si>
  <si>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</si>
  <si>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</si>
  <si>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</si>
  <si>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</si>
  <si>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</si>
  <si>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</si>
  <si>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</si>
  <si>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</si>
  <si>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</si>
  <si>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</si>
  <si>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</si>
  <si>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</si>
  <si>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</si>
  <si>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</si>
  <si>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</si>
  <si>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</si>
  <si>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</si>
  <si>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</si>
  <si>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</si>
  <si>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</si>
  <si>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</si>
  <si>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</si>
  <si>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</si>
  <si>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</si>
  <si>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</si>
  <si>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</si>
  <si>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</si>
  <si>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</si>
  <si>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</si>
  <si>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</si>
  <si>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</si>
  <si>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</si>
  <si>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</si>
  <si>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</si>
  <si>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</si>
  <si>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</si>
  <si>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</si>
  <si>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</si>
  <si>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</si>
  <si>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</si>
  <si>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</si>
  <si>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</si>
  <si>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</si>
  <si>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</si>
  <si>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</si>
  <si>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</si>
  <si>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</si>
  <si>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</si>
  <si>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</si>
  <si>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</si>
  <si>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</si>
  <si>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</si>
  <si>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</si>
  <si>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</si>
  <si>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</si>
  <si>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</si>
  <si>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</si>
  <si>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</si>
  <si>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</si>
  <si>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</si>
  <si>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</si>
  <si>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</si>
  <si>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</si>
  <si>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</si>
  <si>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</si>
  <si>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</si>
  <si>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</si>
  <si>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</si>
  <si>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</si>
  <si>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</si>
  <si>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</si>
  <si>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</si>
  <si>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</si>
  <si>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</si>
  <si>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</si>
  <si>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</si>
  <si>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</si>
  <si>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</si>
  <si>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</si>
  <si>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</si>
  <si>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</si>
  <si>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</si>
  <si>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</si>
  <si>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</si>
  <si>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</si>
  <si>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</si>
  <si>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</si>
  <si>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</si>
  <si>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</si>
  <si>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</si>
  <si>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</si>
  <si>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</si>
  <si>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</si>
  <si>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</si>
  <si>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</si>
  <si>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</si>
  <si>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</si>
  <si>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</si>
  <si>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</si>
  <si>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</si>
  <si>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</si>
  <si>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</si>
  <si>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</si>
  <si>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</si>
  <si>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</si>
  <si>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</si>
  <si>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</si>
  <si>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</si>
  <si>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</si>
  <si>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</si>
  <si>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</si>
  <si>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</si>
  <si>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</si>
  <si>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</si>
  <si>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</si>
  <si>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</si>
  <si>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</si>
  <si>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</si>
  <si>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</si>
  <si>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</si>
  <si>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</si>
  <si>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</si>
  <si>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</si>
  <si>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</si>
  <si>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</si>
  <si>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</si>
  <si>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</si>
  <si>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</si>
  <si>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</si>
  <si>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</si>
  <si>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</si>
  <si>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</si>
  <si>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</si>
  <si>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</si>
  <si>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</si>
  <si>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</si>
  <si>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</si>
  <si>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</si>
  <si>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</si>
  <si>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</si>
  <si>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</si>
  <si>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</si>
  <si>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</si>
  <si>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</si>
  <si>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</si>
  <si>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</si>
  <si>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</si>
  <si>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</si>
  <si>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</si>
  <si>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</si>
  <si>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</si>
  <si>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</si>
  <si>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</si>
  <si>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</si>
  <si>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</si>
  <si>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</si>
  <si>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</si>
  <si>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</si>
  <si>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</si>
  <si>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</si>
  <si>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</si>
  <si>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</si>
  <si>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</si>
  <si>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</si>
  <si>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</si>
  <si>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</si>
  <si>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</si>
  <si>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</si>
  <si>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</si>
  <si>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</si>
  <si>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</si>
  <si>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</si>
  <si>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</si>
  <si>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</si>
  <si>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</si>
  <si>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</si>
  <si>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</si>
  <si>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</si>
  <si>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</si>
  <si>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</si>
  <si>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</si>
  <si>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</si>
  <si>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</si>
  <si>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</si>
  <si>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</si>
  <si>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</si>
  <si>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</si>
  <si>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</si>
  <si>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</si>
  <si>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</si>
  <si>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</si>
  <si>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</si>
  <si>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</si>
  <si>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</si>
  <si>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</si>
  <si>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</si>
  <si>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</si>
  <si>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</si>
  <si>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</si>
  <si>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</si>
  <si>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</si>
  <si>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</si>
  <si>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</si>
  <si>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</si>
  <si>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</si>
  <si>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</si>
  <si>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</si>
  <si>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</si>
  <si>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</si>
  <si>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</si>
  <si>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</si>
  <si>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</si>
  <si>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</si>
  <si>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</si>
  <si>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</si>
  <si>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</si>
  <si>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</si>
  <si>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</si>
  <si>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</si>
  <si>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</si>
  <si>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</si>
  <si>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</si>
  <si>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</si>
  <si>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</si>
  <si>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</si>
  <si>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</si>
  <si>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</si>
  <si>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</si>
  <si>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</si>
  <si>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</si>
  <si>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</si>
  <si>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</si>
  <si>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</si>
  <si>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</si>
  <si>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</si>
  <si>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</si>
  <si>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</si>
  <si>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</si>
  <si>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</si>
  <si>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</si>
  <si>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</si>
  <si>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</si>
  <si>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</si>
  <si>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</si>
  <si>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</si>
  <si>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</si>
  <si>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</si>
  <si>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</si>
  <si>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</si>
  <si>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</si>
  <si>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</si>
  <si>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</si>
  <si>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</si>
  <si>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</si>
  <si>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</si>
  <si>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</si>
  <si>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</si>
  <si>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</si>
  <si>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</si>
  <si>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</si>
  <si>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</si>
  <si>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</si>
  <si>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</si>
  <si>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</si>
  <si>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</si>
  <si>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</si>
  <si>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</si>
  <si>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</si>
  <si>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</si>
  <si>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</si>
  <si>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</si>
  <si>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</si>
  <si>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</si>
  <si>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</si>
  <si>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</si>
  <si>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</si>
  <si>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</si>
  <si>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</si>
  <si>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</si>
  <si>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</si>
  <si>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</si>
  <si>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</si>
  <si>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</si>
  <si>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</si>
  <si>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</si>
  <si>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</si>
  <si>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</si>
  <si>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</si>
  <si>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</si>
  <si>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</si>
  <si>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</si>
  <si>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</si>
  <si>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</si>
  <si>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</si>
  <si>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</si>
  <si>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</si>
  <si>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</si>
  <si>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</si>
  <si>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</si>
  <si>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</si>
  <si>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</si>
  <si>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</si>
  <si>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</si>
  <si>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</si>
  <si>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</si>
  <si>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</si>
  <si>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</si>
  <si>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</si>
  <si>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</si>
  <si>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</si>
  <si>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</si>
  <si>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</si>
  <si>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</si>
  <si>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</si>
  <si>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</si>
  <si>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</si>
  <si>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</si>
  <si>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</si>
  <si>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</si>
  <si>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</si>
  <si>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</si>
  <si>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</si>
  <si>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</si>
  <si>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</si>
  <si>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</si>
  <si>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</si>
  <si>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</si>
  <si>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</si>
  <si>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</si>
  <si>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</si>
  <si>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</si>
  <si>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</si>
  <si>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</si>
  <si>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</si>
  <si>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</si>
  <si>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</si>
  <si>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</si>
  <si>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</si>
  <si>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</si>
  <si>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</si>
  <si>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</si>
  <si>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</si>
  <si>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</si>
  <si>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</si>
  <si>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</si>
  <si>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</si>
  <si>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</si>
  <si>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</si>
  <si>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</si>
  <si>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</si>
  <si>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</si>
  <si>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</si>
  <si>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</si>
  <si>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</si>
  <si>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</si>
  <si>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</si>
  <si>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</si>
  <si>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</si>
  <si>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</si>
  <si>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</si>
  <si>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</si>
  <si>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</si>
  <si>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</si>
  <si>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</si>
  <si>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</si>
  <si>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</si>
  <si>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</si>
  <si>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</si>
  <si>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</si>
  <si>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</si>
  <si>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</si>
  <si>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</si>
  <si>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</si>
  <si>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</si>
  <si>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</si>
  <si>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</si>
  <si>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</si>
  <si>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</si>
  <si>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</si>
  <si>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</si>
  <si>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</si>
  <si>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</si>
  <si>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</si>
  <si>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</si>
  <si>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</si>
  <si>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</si>
  <si>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</si>
  <si>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</si>
  <si>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</si>
  <si>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</si>
  <si>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</si>
  <si>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</si>
  <si>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</si>
  <si>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</si>
  <si>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</si>
  <si>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</si>
  <si>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</si>
  <si>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</si>
  <si>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</si>
  <si>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</si>
  <si>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</si>
  <si>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</si>
  <si>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</si>
  <si>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</si>
  <si>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</si>
  <si>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</si>
  <si>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</si>
  <si>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</si>
  <si>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</si>
  <si>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</si>
  <si>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</si>
  <si>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</si>
  <si>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</si>
  <si>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</si>
  <si>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</si>
  <si>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</si>
  <si>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</si>
  <si>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</si>
  <si>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</si>
  <si>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</si>
  <si>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</si>
  <si>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</si>
  <si>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</si>
  <si>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</si>
  <si>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</si>
  <si>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</si>
  <si>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</si>
  <si>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</si>
  <si>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</si>
  <si>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</si>
  <si>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</si>
  <si>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</si>
  <si>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</si>
  <si>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</si>
  <si>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</si>
  <si>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</si>
  <si>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</si>
  <si>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</si>
  <si>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</si>
  <si>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</si>
  <si>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</si>
  <si>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</si>
  <si>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</si>
  <si>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</si>
  <si>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</si>
  <si>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</si>
  <si>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</si>
  <si>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</si>
  <si>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</si>
  <si>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</si>
  <si>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</si>
  <si>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</si>
  <si>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</si>
  <si>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</si>
  <si>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</si>
  <si>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</si>
  <si>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</si>
  <si>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</si>
  <si>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</si>
  <si>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</si>
  <si>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</si>
  <si>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</si>
  <si>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</si>
  <si>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</si>
  <si>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</si>
  <si>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</si>
  <si>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</si>
  <si>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</si>
  <si>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</si>
  <si>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</si>
  <si>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</si>
  <si>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</si>
  <si>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</si>
  <si>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</si>
  <si>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</si>
  <si>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</si>
  <si>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</si>
  <si>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</si>
  <si>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</si>
  <si>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</si>
  <si>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</si>
  <si>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</si>
  <si>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</si>
  <si>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</si>
  <si>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</si>
  <si>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</si>
  <si>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</si>
  <si>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</si>
  <si>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</si>
  <si>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</si>
  <si>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</si>
  <si>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</si>
  <si>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</si>
  <si>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</si>
  <si>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</si>
  <si>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</si>
  <si>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</si>
  <si>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</si>
  <si>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</si>
  <si>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</si>
  <si>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</si>
  <si>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</si>
  <si>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</si>
  <si>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</si>
  <si>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</si>
  <si>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</si>
  <si>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</si>
  <si>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</si>
  <si>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</si>
  <si>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</si>
  <si>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</si>
  <si>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</si>
  <si>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</si>
  <si>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</si>
  <si>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</si>
  <si>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</si>
  <si>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</si>
  <si>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</si>
  <si>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</si>
  <si>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</si>
  <si>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</si>
  <si>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</si>
  <si>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</si>
  <si>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</si>
  <si>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</si>
  <si>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</si>
  <si>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</si>
  <si>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</si>
  <si>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</si>
  <si>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</si>
  <si>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</si>
  <si>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</si>
  <si>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</si>
  <si>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</si>
  <si>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</si>
  <si>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</si>
  <si>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</si>
  <si>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</si>
  <si>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</si>
  <si>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</si>
  <si>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</si>
  <si>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</si>
  <si>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</si>
  <si>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</si>
  <si>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</si>
  <si>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</si>
  <si>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</si>
  <si>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</si>
  <si>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</si>
  <si>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</si>
  <si>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</si>
  <si>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</si>
  <si>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</si>
  <si>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</si>
  <si>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</si>
  <si>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</si>
  <si>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</si>
  <si>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</si>
  <si>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</si>
  <si>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</si>
  <si>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</si>
  <si>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</si>
  <si>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</si>
  <si>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</si>
  <si>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</si>
  <si>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</si>
  <si>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</si>
  <si>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</si>
  <si>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</si>
  <si>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</si>
  <si>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</si>
  <si>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</si>
  <si>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</si>
  <si>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</si>
  <si>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</si>
  <si>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</si>
  <si>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</si>
  <si>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</si>
  <si>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</si>
  <si>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</si>
  <si>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</si>
  <si>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</si>
  <si>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</si>
  <si>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</si>
  <si>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</si>
  <si>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</si>
  <si>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</si>
  <si>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</si>
  <si>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</si>
  <si>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</si>
  <si>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</si>
  <si>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</si>
  <si>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</si>
  <si>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</si>
  <si>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</si>
  <si>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</si>
  <si>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</si>
  <si>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</si>
  <si>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</si>
  <si>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</si>
  <si>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</si>
  <si>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</si>
  <si>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</si>
  <si>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</si>
  <si>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</si>
  <si>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</si>
  <si>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</si>
  <si>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</si>
  <si>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</si>
  <si>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</si>
  <si>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</si>
  <si>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</si>
  <si>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</si>
  <si>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</si>
  <si>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</si>
  <si>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</si>
  <si>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</si>
  <si>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</si>
  <si>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</si>
  <si>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</si>
  <si>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</si>
  <si>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</si>
  <si>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</si>
  <si>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</si>
  <si>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</si>
  <si>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</si>
  <si>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</si>
  <si>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</si>
  <si>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</si>
  <si>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</si>
  <si>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</si>
  <si>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</si>
  <si>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</si>
  <si>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</si>
  <si>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</si>
  <si>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</si>
  <si>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</si>
  <si>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</si>
  <si>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</si>
  <si>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</si>
  <si>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</si>
  <si>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</si>
  <si>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</si>
  <si>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</si>
  <si>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</si>
  <si>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</si>
  <si>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</si>
  <si>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</si>
  <si>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</si>
  <si>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</si>
  <si>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</si>
  <si>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</si>
  <si>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</si>
  <si>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</si>
  <si>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</si>
  <si>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</si>
  <si>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</si>
  <si>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</si>
  <si>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</si>
  <si>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</si>
  <si>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</si>
  <si>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</si>
  <si>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</si>
  <si>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</si>
  <si>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</si>
  <si>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</si>
  <si>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</si>
  <si>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</si>
  <si>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</si>
  <si>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</si>
  <si>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</si>
  <si>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</si>
  <si>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</si>
  <si>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</si>
  <si>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</si>
  <si>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</si>
  <si>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</si>
  <si>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</si>
  <si>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</si>
  <si>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</si>
  <si>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</si>
  <si>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</si>
  <si>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</si>
  <si>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</si>
  <si>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</si>
  <si>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</si>
  <si>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</si>
  <si>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</si>
  <si>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</si>
  <si>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</si>
  <si>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</si>
  <si>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</si>
  <si>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</si>
  <si>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</si>
  <si>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</si>
  <si>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</si>
  <si>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</si>
  <si>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</si>
  <si>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</si>
  <si>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</si>
  <si>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</si>
  <si>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</si>
  <si>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</si>
  <si>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</si>
  <si>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</si>
  <si>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</si>
  <si>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</si>
  <si>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</si>
  <si>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</si>
  <si>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</si>
  <si>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</si>
  <si>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</si>
  <si>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</si>
  <si>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</si>
  <si>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</si>
  <si>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</si>
  <si>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</si>
  <si>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</si>
  <si>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</si>
  <si>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</si>
  <si>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</si>
  <si>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</si>
  <si>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</si>
  <si>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</si>
  <si>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</si>
  <si>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</si>
  <si>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</si>
  <si>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</si>
  <si>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</si>
  <si>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</si>
  <si>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</si>
  <si>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</si>
  <si>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</si>
  <si>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</si>
  <si>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</si>
  <si>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</si>
  <si>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</si>
  <si>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</si>
  <si>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</si>
  <si>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</si>
  <si>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</si>
  <si>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</si>
  <si>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</si>
  <si>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</si>
  <si>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</si>
  <si>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</si>
  <si>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</si>
  <si>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</si>
  <si>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</si>
  <si>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</si>
  <si>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</si>
  <si>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</si>
  <si>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</si>
  <si>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</si>
  <si>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</si>
  <si>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</si>
  <si>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</si>
  <si>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</si>
  <si>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</si>
  <si>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</si>
  <si>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</si>
  <si>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</si>
  <si>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</si>
  <si>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</si>
  <si>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</si>
  <si>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</si>
  <si>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</si>
  <si>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</si>
  <si>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</si>
  <si>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</si>
  <si>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</si>
  <si>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</si>
  <si>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</si>
  <si>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</si>
  <si>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</si>
  <si>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</si>
  <si>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</si>
  <si>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</si>
  <si>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</si>
  <si>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</si>
  <si>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</si>
  <si>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</si>
  <si>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</si>
  <si>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</si>
  <si>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</si>
  <si>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</si>
  <si>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</si>
  <si>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</si>
  <si>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</si>
  <si>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</si>
  <si>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</si>
  <si>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</si>
  <si>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</si>
  <si>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</si>
  <si>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</si>
  <si>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</si>
  <si>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</si>
  <si>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</si>
  <si>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</si>
  <si>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</si>
  <si>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</si>
  <si>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</si>
  <si>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</si>
  <si>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</si>
  <si>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</si>
  <si>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</si>
  <si>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</si>
  <si>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</si>
  <si>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</si>
  <si>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</si>
  <si>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</si>
  <si>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</si>
  <si>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</si>
  <si>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</si>
  <si>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</si>
  <si>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</si>
  <si>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</si>
  <si>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</si>
  <si>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</si>
  <si>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</si>
  <si>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</si>
  <si>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</si>
  <si>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</si>
  <si>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</si>
  <si>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</si>
  <si>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</si>
  <si>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</si>
  <si>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</si>
  <si>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</si>
  <si>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</si>
  <si>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</si>
  <si>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</si>
  <si>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</si>
  <si>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</si>
  <si>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</si>
  <si>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</si>
  <si>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</si>
  <si>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</si>
  <si>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</si>
  <si>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</si>
  <si>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</si>
  <si>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</si>
  <si>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</si>
  <si>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</si>
  <si>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</si>
  <si>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</si>
  <si>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</si>
  <si>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</si>
  <si>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</si>
  <si>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</si>
  <si>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</si>
  <si>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</si>
  <si>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</si>
  <si>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</si>
  <si>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</si>
  <si>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</si>
  <si>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</si>
  <si>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</si>
  <si>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</si>
  <si>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</si>
  <si>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</si>
  <si>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</si>
  <si>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</si>
  <si>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</si>
  <si>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</si>
  <si>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</si>
  <si>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</si>
  <si>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</si>
  <si>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</si>
  <si>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</si>
  <si>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</si>
  <si>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</si>
  <si>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</si>
  <si>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</si>
  <si>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</si>
  <si>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</si>
  <si>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</si>
  <si>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</si>
  <si>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</si>
  <si>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</si>
  <si>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</si>
  <si>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</si>
  <si>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</si>
  <si>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</si>
  <si>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</si>
  <si>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</si>
  <si>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</si>
  <si>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</si>
  <si>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</si>
  <si>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</si>
  <si>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</si>
  <si>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</si>
  <si>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</si>
  <si>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</si>
  <si>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</si>
  <si>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</si>
  <si>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</si>
  <si>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</si>
  <si>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</si>
  <si>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</si>
  <si>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</si>
  <si>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</si>
  <si>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</si>
  <si>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</si>
  <si>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</si>
  <si>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</si>
  <si>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</si>
  <si>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</si>
  <si>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</si>
  <si>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</si>
  <si>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</si>
  <si>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</si>
  <si>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</si>
  <si>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</si>
  <si>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</si>
  <si>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</si>
  <si>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</si>
  <si>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</si>
  <si>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</si>
  <si>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</si>
  <si>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</si>
  <si>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</si>
  <si>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</si>
  <si>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</si>
  <si>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</si>
  <si>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</si>
  <si>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</si>
  <si>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</si>
  <si>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</si>
  <si>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</si>
  <si>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</si>
  <si>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</si>
  <si>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</si>
  <si>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</si>
  <si>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</si>
  <si>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</si>
  <si>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</si>
  <si>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</si>
  <si>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</si>
  <si>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</si>
  <si>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</si>
  <si>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</si>
  <si>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</si>
  <si>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</si>
  <si>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</si>
  <si>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</si>
  <si>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</si>
  <si>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</si>
  <si>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</si>
  <si>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</si>
  <si>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</si>
  <si>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</si>
  <si>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</si>
  <si>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</si>
  <si>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</si>
  <si>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</si>
  <si>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</si>
  <si>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</si>
  <si>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</si>
  <si>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</si>
  <si>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</si>
  <si>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</si>
  <si>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</si>
  <si>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</si>
  <si>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</si>
  <si>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</si>
  <si>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</si>
  <si>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</si>
  <si>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</si>
  <si>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</si>
  <si>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</si>
  <si>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</si>
  <si>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</si>
  <si>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</si>
  <si>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</si>
  <si>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</si>
  <si>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</si>
  <si>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</si>
  <si>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</si>
  <si>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</si>
  <si>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</si>
  <si>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</si>
  <si>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</si>
  <si>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</si>
  <si>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</si>
  <si>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</si>
  <si>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</si>
  <si>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</si>
  <si>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</si>
  <si>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</si>
  <si>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</si>
  <si>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</si>
  <si>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</si>
  <si>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</si>
  <si>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</si>
  <si>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</si>
  <si>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</si>
  <si>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</si>
  <si>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</si>
  <si>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</si>
  <si>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</si>
  <si>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</si>
  <si>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</si>
  <si>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</si>
  <si>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</si>
  <si>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</si>
  <si>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</si>
  <si>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</si>
  <si>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</si>
  <si>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</si>
  <si>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</si>
  <si>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</si>
  <si>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</si>
  <si>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</si>
  <si>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</si>
  <si>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</si>
  <si>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</si>
  <si>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</si>
  <si>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</si>
  <si>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</si>
  <si>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</si>
  <si>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</si>
  <si>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</si>
  <si>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</si>
  <si>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</si>
  <si>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</si>
  <si>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</si>
  <si>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</si>
  <si>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</si>
  <si>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</si>
  <si>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</si>
  <si>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</si>
  <si>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</si>
  <si>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</si>
  <si>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</si>
  <si>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</si>
  <si>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</si>
  <si>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</si>
  <si>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</si>
  <si>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</si>
  <si>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</si>
  <si>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</si>
  <si>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</si>
  <si>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</si>
  <si>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</si>
  <si>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</si>
  <si>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</si>
  <si>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</si>
  <si>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</si>
  <si>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</si>
  <si>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</si>
  <si>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</si>
  <si>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</si>
  <si>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</si>
  <si>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</si>
  <si>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</si>
  <si>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</si>
  <si>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</si>
  <si>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</si>
  <si>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</si>
  <si>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</si>
  <si>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</si>
  <si>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</si>
  <si>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</si>
  <si>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</si>
  <si>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</si>
  <si>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</si>
  <si>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</si>
  <si>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</si>
  <si>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</si>
  <si>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</si>
  <si>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</si>
  <si>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</si>
  <si>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</si>
  <si>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</si>
  <si>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</si>
  <si>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</si>
  <si>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</si>
  <si>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</si>
  <si>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</si>
  <si>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</si>
  <si>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</si>
  <si>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</si>
  <si>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</si>
  <si>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</si>
  <si>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</si>
  <si>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</si>
  <si>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</si>
  <si>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</si>
  <si>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</si>
  <si>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</si>
  <si>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</si>
  <si>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</si>
  <si>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</si>
  <si>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</si>
  <si>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</si>
  <si>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</si>
  <si>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</si>
  <si>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</si>
  <si>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</si>
  <si>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</si>
  <si>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</si>
  <si>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</si>
  <si>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</si>
  <si>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</si>
  <si>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</si>
  <si>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</si>
  <si>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</si>
  <si>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</si>
  <si>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</si>
  <si>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</si>
  <si>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</si>
  <si>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</si>
  <si>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</si>
  <si>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</si>
  <si>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</si>
  <si>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</si>
  <si>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</si>
  <si>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</si>
  <si>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</si>
  <si>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</si>
  <si>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</si>
  <si>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</si>
  <si>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</si>
  <si>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</si>
  <si>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</si>
  <si>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</si>
  <si>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</si>
  <si>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</si>
  <si>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</si>
  <si>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</si>
  <si>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</si>
  <si>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</si>
  <si>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</si>
  <si>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</si>
  <si>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</si>
  <si>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</si>
  <si>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</si>
  <si>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</si>
  <si>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</si>
  <si>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</si>
  <si>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</si>
  <si>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</si>
  <si>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</si>
  <si>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</si>
  <si>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</si>
  <si>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</si>
  <si>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</si>
  <si>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</si>
  <si>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</si>
  <si>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</si>
  <si>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</si>
  <si>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</si>
  <si>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</si>
  <si>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</si>
  <si>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</si>
  <si>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</si>
  <si>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</si>
  <si>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</si>
  <si>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</si>
  <si>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</si>
  <si>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</si>
  <si>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</si>
  <si>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</si>
  <si>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</si>
  <si>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</si>
  <si>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</si>
  <si>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</si>
  <si>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</si>
  <si>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</si>
  <si>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</si>
  <si>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</si>
  <si>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</si>
  <si>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</si>
  <si>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</si>
  <si>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</si>
  <si>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</si>
  <si>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</si>
  <si>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</si>
  <si>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</si>
  <si>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</si>
  <si>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</si>
  <si>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</si>
  <si>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</si>
  <si>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</si>
  <si>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</si>
  <si>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</si>
  <si>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</si>
  <si>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</si>
  <si>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</si>
  <si>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</si>
  <si>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</si>
  <si>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</si>
  <si>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</si>
  <si>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</si>
  <si>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</si>
  <si>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</si>
  <si>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</si>
  <si>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</si>
  <si>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</si>
  <si>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</si>
  <si>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</si>
  <si>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</si>
  <si>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</si>
  <si>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</si>
  <si>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</si>
  <si>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</si>
  <si>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</si>
  <si>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</si>
  <si>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</si>
  <si>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</si>
  <si>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</si>
  <si>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</si>
  <si>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</si>
  <si>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</si>
  <si>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</si>
  <si>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</si>
  <si>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</si>
  <si>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</si>
  <si>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</si>
  <si>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</si>
  <si>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</si>
  <si>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</si>
  <si>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</si>
  <si>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</si>
  <si>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</si>
  <si>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</si>
  <si>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</si>
  <si>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</si>
  <si>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</si>
  <si>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</si>
  <si>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</si>
  <si>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</si>
  <si>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</si>
  <si>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</si>
  <si>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</si>
  <si>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</si>
  <si>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</si>
  <si>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</si>
  <si>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</si>
  <si>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</si>
  <si>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</si>
  <si>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</si>
  <si>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</si>
  <si>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</si>
  <si>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</si>
  <si>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</si>
  <si>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</si>
  <si>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</si>
  <si>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</si>
  <si>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</si>
  <si>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</si>
  <si>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</si>
  <si>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</si>
  <si>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</si>
  <si>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</si>
  <si>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</si>
  <si>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</si>
  <si>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</si>
  <si>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</si>
  <si>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</si>
  <si>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</si>
  <si>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</si>
  <si>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</si>
  <si>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</si>
  <si>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</si>
  <si>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</si>
  <si>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</si>
  <si>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</si>
  <si>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</si>
  <si>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</si>
  <si>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</si>
  <si>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</si>
  <si>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</si>
  <si>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</si>
  <si>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</si>
  <si>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</si>
  <si>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</si>
  <si>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</si>
  <si>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</si>
  <si>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</si>
  <si>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</si>
  <si>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</si>
  <si>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</si>
  <si>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</si>
  <si>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</si>
  <si>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</si>
  <si>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</si>
  <si>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</si>
  <si>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</si>
  <si>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</si>
  <si>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</si>
  <si>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</si>
  <si>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</si>
  <si>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</si>
  <si>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</si>
  <si>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</si>
  <si>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</si>
  <si>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</si>
  <si>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</si>
  <si>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</si>
  <si>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</si>
  <si>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</si>
  <si>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</si>
  <si>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</si>
  <si>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</si>
  <si>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</si>
  <si>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</si>
  <si>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</si>
  <si>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</si>
  <si>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</si>
  <si>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</si>
  <si>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</si>
  <si>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</si>
  <si>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</si>
  <si>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</si>
  <si>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</si>
  <si>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</si>
  <si>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</si>
  <si>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</si>
  <si>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</si>
  <si>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</si>
  <si>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</si>
  <si>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</si>
  <si>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</si>
  <si>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</si>
  <si>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</si>
  <si>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</si>
  <si>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</si>
  <si>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</si>
  <si>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</si>
  <si>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</si>
  <si>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</si>
  <si>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</si>
  <si>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</si>
  <si>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</si>
  <si>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</si>
  <si>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</si>
  <si>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</si>
  <si>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</si>
  <si>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</si>
  <si>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</si>
  <si>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</si>
  <si>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</si>
  <si>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</si>
  <si>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</si>
  <si>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</si>
  <si>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</si>
  <si>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</si>
  <si>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</si>
  <si>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</si>
  <si>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</si>
  <si>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</si>
  <si>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</si>
  <si>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</si>
  <si>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</si>
  <si>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</si>
  <si>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</si>
  <si>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</si>
  <si>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</si>
  <si>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</si>
  <si>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</si>
  <si>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</si>
  <si>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</si>
  <si>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</si>
  <si>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</si>
  <si>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</si>
  <si>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</si>
  <si>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</si>
  <si>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</si>
  <si>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</si>
  <si>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</si>
  <si>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</si>
  <si>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</si>
  <si>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</si>
  <si>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</si>
  <si>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</si>
  <si>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</si>
  <si>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</si>
  <si>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</si>
  <si>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</si>
  <si>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</si>
  <si>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</si>
  <si>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</si>
  <si>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</si>
  <si>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</si>
  <si>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</si>
  <si>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</si>
  <si>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</si>
  <si>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</si>
  <si>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</si>
  <si>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</si>
  <si>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</si>
  <si>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</si>
  <si>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</si>
  <si>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</si>
  <si>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</si>
  <si>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</si>
  <si>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</si>
  <si>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</si>
  <si>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</si>
  <si>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</si>
  <si>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</si>
  <si>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</si>
  <si>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</si>
  <si>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</si>
  <si>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</si>
  <si>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</si>
  <si>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</si>
  <si>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</si>
  <si>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</si>
  <si>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</si>
  <si>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</si>
  <si>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</si>
  <si>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</si>
  <si>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</si>
  <si>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</si>
  <si>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</si>
  <si>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</si>
  <si>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</si>
  <si>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</si>
  <si>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</si>
  <si>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</si>
  <si>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</si>
  <si>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</si>
  <si>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</si>
  <si>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</si>
  <si>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</si>
  <si>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</si>
  <si>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</si>
  <si>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</si>
  <si>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</si>
  <si>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</si>
  <si>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</si>
  <si>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</si>
  <si>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</si>
  <si>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</si>
  <si>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</si>
  <si>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</si>
  <si>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</si>
  <si>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</si>
  <si>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</si>
  <si>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</si>
  <si>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</si>
  <si>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</si>
  <si>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</si>
  <si>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</si>
  <si>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</si>
  <si>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</si>
  <si>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</si>
  <si>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</si>
  <si>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</si>
  <si>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</si>
  <si>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</si>
  <si>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</si>
  <si>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</si>
  <si>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</si>
  <si>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</si>
  <si>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</si>
  <si>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</si>
  <si>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</si>
  <si>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</si>
  <si>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</si>
  <si>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</si>
  <si>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</si>
  <si>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</si>
  <si>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</si>
  <si>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</si>
  <si>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</si>
  <si>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</si>
  <si>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</si>
  <si>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</si>
  <si>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</si>
  <si>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</si>
  <si>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</si>
  <si>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</si>
  <si>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</si>
  <si>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</si>
  <si>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</si>
  <si>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</si>
  <si>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</si>
  <si>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</si>
  <si>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</si>
  <si>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</si>
  <si>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</si>
  <si>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</si>
  <si>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</si>
  <si>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</si>
  <si>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</si>
  <si>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</si>
  <si>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</si>
  <si>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</si>
  <si>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</si>
  <si>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</si>
  <si>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</si>
  <si>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</si>
  <si>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</si>
  <si>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</si>
  <si>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</si>
  <si>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</si>
  <si>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</si>
  <si>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</si>
  <si>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</si>
  <si>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</si>
  <si>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</si>
  <si>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</si>
  <si>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</si>
  <si>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</si>
  <si>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</si>
  <si>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</si>
  <si>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</si>
  <si>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</si>
  <si>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</si>
  <si>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</si>
  <si>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</si>
  <si>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</si>
  <si>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</si>
  <si>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</si>
  <si>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</si>
  <si>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</si>
  <si>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</si>
  <si>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</si>
  <si>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</si>
  <si>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</si>
  <si>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</si>
  <si>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</si>
  <si>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</si>
  <si>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</si>
  <si>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</si>
  <si>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</si>
  <si>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</si>
  <si>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</si>
  <si>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</si>
  <si>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</si>
  <si>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</si>
  <si>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</si>
  <si>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</si>
  <si>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</si>
  <si>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</si>
  <si>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</si>
  <si>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</si>
  <si>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</si>
  <si>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</si>
  <si>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</si>
  <si>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</si>
  <si>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</si>
  <si>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</si>
  <si>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</si>
  <si>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</si>
  <si>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</si>
  <si>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</si>
  <si>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</si>
  <si>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</si>
  <si>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</si>
  <si>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</si>
  <si>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</si>
  <si>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</si>
  <si>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</si>
  <si>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</si>
  <si>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</si>
  <si>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</si>
  <si>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</si>
  <si>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</si>
  <si>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</si>
  <si>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</si>
  <si>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</si>
  <si>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</si>
  <si>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</si>
  <si>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</si>
  <si>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</si>
  <si>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</si>
  <si>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</si>
  <si>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</si>
  <si>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</si>
  <si>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</si>
  <si>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</si>
  <si>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</si>
  <si>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</si>
  <si>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</si>
  <si>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</si>
  <si>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</si>
  <si>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</si>
  <si>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</si>
  <si>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</si>
  <si>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</si>
  <si>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</si>
  <si>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</si>
  <si>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</si>
  <si>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</si>
  <si>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</si>
  <si>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</si>
  <si>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</si>
  <si>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</si>
  <si>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</si>
  <si>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</si>
  <si>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</si>
  <si>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</si>
  <si>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</si>
  <si>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</si>
  <si>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</si>
  <si>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</si>
  <si>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</si>
  <si>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</si>
  <si>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</si>
  <si>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</si>
  <si>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</si>
  <si>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</si>
  <si>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</si>
  <si>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</si>
  <si>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</si>
  <si>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</si>
  <si>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</si>
  <si>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</si>
  <si>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</si>
  <si>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</si>
  <si>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</si>
  <si>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</si>
  <si>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</si>
  <si>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</si>
  <si>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</si>
  <si>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</si>
  <si>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</si>
  <si>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</si>
  <si>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</si>
  <si>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</si>
  <si>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</si>
  <si>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</si>
  <si>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</si>
  <si>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</si>
  <si>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</si>
  <si>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</si>
  <si>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</si>
  <si>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</si>
  <si>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</si>
  <si>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</si>
  <si>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</si>
  <si>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</si>
  <si>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</si>
  <si>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</si>
  <si>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</si>
  <si>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</si>
  <si>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</si>
  <si>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</si>
  <si>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</si>
  <si>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</si>
  <si>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</si>
  <si>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</si>
  <si>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</si>
  <si>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</si>
  <si>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</si>
  <si>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</si>
  <si>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</si>
  <si>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</si>
  <si>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</si>
  <si>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</si>
  <si>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</si>
  <si>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</si>
  <si>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</si>
  <si>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</si>
  <si>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</si>
  <si>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</si>
  <si>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</si>
  <si>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</si>
  <si>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</si>
  <si>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</si>
  <si>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</si>
  <si>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</si>
  <si>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</si>
  <si>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</si>
  <si>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</si>
  <si>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</si>
  <si>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</si>
  <si>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</si>
  <si>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</si>
  <si>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</si>
  <si>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</si>
  <si>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</si>
  <si>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</si>
  <si>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</si>
  <si>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</si>
  <si>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</si>
  <si>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</si>
  <si>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</si>
  <si>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</si>
  <si>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</si>
  <si>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</si>
  <si>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</si>
  <si>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</si>
  <si>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</si>
  <si>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</si>
  <si>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</si>
  <si>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</si>
  <si>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</si>
  <si>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</si>
  <si>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</si>
  <si>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</si>
  <si>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</si>
  <si>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</si>
  <si>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</si>
  <si>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</si>
  <si>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</si>
  <si>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</si>
  <si>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</si>
  <si>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</si>
  <si>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</si>
  <si>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</si>
  <si>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</si>
  <si>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</si>
  <si>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</si>
  <si>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</si>
  <si>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</si>
  <si>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</si>
  <si>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</si>
  <si>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</si>
  <si>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</si>
  <si>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</si>
  <si>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</si>
  <si>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</si>
  <si>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</si>
  <si>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</si>
  <si>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</si>
  <si>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</si>
  <si>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</si>
  <si>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</si>
  <si>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</si>
  <si>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</si>
  <si>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</si>
  <si>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</si>
  <si>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</si>
  <si>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</si>
  <si>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</si>
  <si>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</si>
  <si>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</si>
  <si>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</si>
  <si>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</si>
  <si>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</si>
  <si>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</si>
  <si>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</si>
  <si>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</si>
  <si>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</si>
  <si>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</si>
  <si>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</si>
  <si>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</si>
  <si>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</si>
  <si>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</si>
  <si>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</si>
  <si>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</si>
  <si>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</si>
  <si>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</si>
  <si>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</si>
  <si>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</si>
  <si>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</si>
  <si>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</si>
  <si>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</si>
  <si>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</si>
  <si>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</si>
  <si>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</si>
  <si>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</si>
  <si>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</si>
  <si>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</si>
  <si>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</si>
  <si>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</si>
  <si>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</si>
  <si>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</si>
  <si>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</si>
  <si>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</si>
  <si>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</si>
  <si>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</si>
  <si>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</si>
  <si>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</si>
  <si>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</si>
  <si>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</si>
  <si>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</si>
  <si>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</si>
  <si>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</si>
  <si>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</si>
  <si>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</si>
  <si>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</si>
  <si>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</si>
  <si>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</si>
  <si>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</si>
  <si>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</si>
  <si>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</si>
  <si>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</si>
  <si>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</si>
  <si>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</si>
  <si>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</si>
  <si>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</si>
  <si>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</si>
  <si>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</si>
  <si>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</si>
  <si>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</si>
  <si>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</si>
  <si>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</si>
  <si>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</si>
  <si>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</si>
  <si>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</si>
  <si>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</si>
  <si>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</si>
  <si>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</si>
  <si>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</si>
  <si>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</si>
  <si>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</si>
  <si>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</si>
  <si>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</si>
  <si>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</si>
  <si>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</si>
  <si>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</si>
  <si>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</si>
  <si>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</si>
  <si>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</si>
  <si>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</si>
  <si>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</si>
  <si>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</si>
  <si>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</si>
  <si>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</si>
  <si>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</si>
  <si>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</si>
  <si>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</si>
  <si>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</si>
  <si>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</si>
  <si>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</si>
  <si>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</si>
  <si>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</si>
  <si>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</si>
  <si>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</si>
  <si>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</si>
  <si>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</si>
  <si>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</si>
  <si>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</si>
  <si>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</si>
  <si>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</si>
  <si>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</si>
  <si>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</si>
  <si>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</si>
  <si>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</si>
  <si>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</si>
  <si>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</si>
  <si>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</si>
  <si>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</si>
  <si>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</si>
  <si>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</si>
  <si>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</si>
  <si>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</si>
  <si>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</si>
  <si>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</si>
  <si>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</si>
  <si>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</si>
  <si>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</si>
  <si>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</si>
  <si>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</si>
  <si>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</si>
  <si>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</si>
  <si>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</si>
  <si>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</si>
  <si>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</si>
  <si>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</si>
  <si>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</si>
  <si>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</si>
  <si>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</si>
  <si>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</si>
  <si>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</si>
  <si>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</si>
  <si>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</si>
  <si>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</si>
  <si>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</si>
  <si>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</si>
  <si>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</si>
  <si>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</si>
  <si>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</si>
  <si>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</si>
  <si>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</si>
  <si>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</si>
  <si>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</si>
  <si>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</si>
  <si>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</si>
  <si>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</si>
  <si>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</si>
  <si>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</si>
  <si>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</si>
  <si>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</si>
  <si>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</si>
  <si>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</si>
  <si>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</si>
  <si>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</si>
  <si>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</si>
  <si>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</si>
  <si>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</si>
  <si>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</si>
  <si>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</si>
  <si>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</si>
  <si>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</si>
  <si>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</si>
  <si>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</si>
  <si>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</si>
  <si>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</si>
  <si>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</si>
  <si>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</si>
  <si>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</si>
  <si>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</si>
  <si>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</si>
  <si>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</si>
  <si>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</si>
  <si>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</si>
  <si>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</si>
  <si>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</si>
  <si>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</si>
  <si>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</si>
  <si>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</si>
  <si>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</si>
  <si>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</si>
  <si>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</si>
  <si>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</si>
  <si>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</si>
  <si>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</si>
  <si>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</si>
  <si>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</si>
  <si>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</si>
  <si>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</si>
  <si>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</si>
  <si>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</si>
  <si>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</si>
  <si>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</si>
  <si>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</si>
  <si>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</si>
  <si>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</si>
  <si>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</si>
  <si>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</si>
  <si>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</si>
  <si>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</si>
  <si>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</si>
  <si>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</si>
  <si>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</si>
  <si>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</si>
  <si>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</si>
  <si>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</si>
  <si>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</si>
  <si>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</si>
  <si>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</si>
  <si>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</si>
  <si>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</si>
  <si>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</si>
  <si>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</si>
  <si>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</si>
  <si>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</si>
  <si>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</si>
  <si>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</si>
  <si>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</si>
  <si>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</si>
  <si>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</si>
  <si>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</si>
  <si>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</si>
  <si>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</si>
  <si>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</si>
  <si>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</si>
  <si>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</si>
  <si>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</si>
  <si>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</si>
  <si>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</si>
  <si>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</si>
  <si>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</si>
  <si>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</si>
  <si>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</si>
  <si>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</si>
  <si>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</si>
  <si>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</si>
  <si>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</si>
  <si>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</si>
  <si>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</si>
  <si>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</si>
  <si>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</si>
  <si>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</si>
  <si>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</si>
  <si>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</si>
  <si>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</si>
  <si>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</si>
  <si>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</si>
  <si>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</si>
  <si>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</si>
  <si>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</si>
  <si>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</si>
  <si>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</si>
  <si>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</si>
  <si>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</si>
  <si>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</si>
  <si>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</si>
  <si>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</si>
  <si>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</si>
  <si>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</si>
  <si>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</si>
  <si>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</si>
  <si>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</si>
  <si>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</si>
  <si>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</si>
  <si>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</si>
  <si>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</si>
  <si>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</si>
  <si>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</si>
  <si>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</si>
  <si>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</si>
  <si>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</si>
  <si>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</si>
  <si>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</si>
  <si>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</si>
  <si>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</si>
  <si>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</si>
  <si>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</si>
  <si>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</si>
  <si>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</si>
  <si>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</si>
  <si>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</si>
  <si>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</si>
  <si>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</si>
  <si>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</si>
  <si>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</si>
  <si>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</si>
  <si>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</si>
  <si>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</si>
  <si>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</si>
  <si>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</si>
  <si>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</si>
  <si>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</si>
  <si>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</si>
  <si>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</si>
  <si>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</si>
  <si>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</si>
  <si>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</si>
  <si>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</si>
  <si>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</si>
  <si>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</si>
  <si>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</si>
  <si>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</si>
  <si>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</si>
  <si>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</si>
  <si>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</si>
  <si>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</si>
  <si>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</si>
  <si>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</si>
  <si>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</si>
  <si>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</si>
  <si>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</si>
  <si>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</si>
  <si>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</si>
  <si>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</si>
  <si>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</si>
  <si>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</si>
  <si>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</si>
  <si>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</si>
  <si>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</si>
  <si>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</si>
  <si>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</si>
  <si>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</si>
  <si>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</si>
  <si>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</si>
  <si>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</si>
  <si>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</si>
  <si>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</si>
  <si>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</si>
  <si>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</si>
  <si>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</si>
  <si>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</si>
  <si>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</si>
  <si>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</si>
  <si>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</si>
  <si>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</si>
  <si>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</si>
  <si>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</si>
  <si>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</si>
  <si>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</si>
  <si>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</si>
  <si>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</si>
  <si>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</si>
  <si>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</si>
  <si>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</si>
  <si>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</si>
  <si>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</si>
  <si>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</si>
  <si>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</si>
  <si>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</si>
  <si>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</si>
  <si>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</si>
  <si>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</si>
  <si>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</si>
  <si>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</si>
  <si>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</si>
  <si>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</si>
  <si>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</si>
  <si>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</si>
  <si>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</si>
  <si>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</si>
  <si>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</si>
  <si>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</si>
  <si>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</si>
  <si>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</si>
  <si>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</si>
  <si>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</si>
  <si>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</si>
  <si>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</si>
  <si>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</si>
  <si>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</si>
  <si>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</si>
  <si>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</si>
  <si>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</si>
  <si>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</si>
  <si>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</si>
  <si>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</si>
  <si>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</si>
  <si>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</si>
  <si>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</si>
  <si>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</si>
  <si>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</si>
  <si>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</si>
  <si>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</si>
  <si>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</si>
  <si>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</si>
  <si>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</si>
  <si>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</si>
  <si>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</si>
  <si>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</si>
  <si>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</si>
  <si>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</si>
  <si>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</si>
  <si>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</si>
  <si>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</si>
  <si>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</si>
  <si>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</si>
  <si>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</si>
  <si>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</si>
  <si>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</si>
  <si>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</si>
  <si>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</si>
  <si>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</si>
  <si>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</si>
  <si>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</si>
  <si>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</si>
  <si>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</si>
  <si>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</si>
  <si>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</si>
  <si>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</si>
  <si>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</si>
  <si>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</si>
  <si>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</si>
  <si>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</si>
  <si>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</si>
  <si>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</si>
  <si>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</si>
  <si>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</si>
  <si>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</si>
  <si>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</si>
  <si>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</si>
  <si>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</si>
  <si>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</si>
  <si>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</si>
  <si>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</si>
  <si>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</si>
  <si>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</si>
  <si>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</si>
  <si>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</si>
  <si>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</si>
  <si>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</si>
  <si>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</si>
  <si>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</si>
  <si>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</si>
  <si>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</si>
  <si>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</si>
  <si>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</si>
  <si>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</si>
  <si>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</si>
  <si>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</si>
  <si>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</si>
  <si>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</si>
  <si>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</si>
  <si>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</si>
  <si>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</si>
  <si>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</si>
  <si>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</si>
  <si>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</si>
  <si>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</si>
  <si>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</si>
  <si>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</si>
  <si>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</si>
  <si>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</si>
  <si>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</si>
  <si>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</si>
  <si>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</si>
  <si>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</si>
  <si>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</si>
  <si>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</si>
  <si>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</si>
  <si>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</si>
  <si>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</si>
  <si>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</si>
  <si>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</si>
  <si>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</si>
  <si>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</si>
  <si>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</si>
  <si>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</si>
  <si>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</si>
  <si>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</si>
  <si>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</si>
  <si>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</si>
  <si>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</si>
  <si>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</si>
  <si>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</si>
  <si>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</si>
  <si>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</si>
  <si>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</si>
  <si>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</si>
  <si>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</si>
  <si>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</si>
  <si>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</si>
  <si>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</si>
  <si>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</si>
  <si>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</si>
  <si>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</si>
  <si>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</si>
  <si>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</si>
  <si>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</si>
  <si>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</si>
  <si>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</si>
  <si>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</si>
  <si>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</si>
  <si>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</si>
  <si>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</si>
  <si>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</si>
  <si>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</si>
  <si>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</si>
  <si>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</si>
  <si>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</si>
  <si>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</si>
  <si>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</si>
  <si>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</si>
  <si>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</si>
  <si>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</si>
  <si>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</si>
  <si>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</si>
  <si>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</si>
  <si>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</si>
  <si>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</si>
  <si>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</si>
  <si>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</si>
  <si>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</si>
  <si>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</si>
  <si>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</si>
  <si>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</si>
  <si>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</si>
  <si>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</si>
  <si>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</si>
  <si>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</si>
  <si>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</si>
  <si>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</si>
  <si>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</si>
  <si>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</si>
  <si>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</si>
  <si>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</si>
  <si>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</si>
  <si>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</si>
  <si>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</si>
  <si>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</si>
  <si>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</si>
  <si>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</si>
  <si>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</si>
  <si>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</si>
  <si>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</si>
  <si>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</si>
  <si>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</si>
  <si>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</si>
  <si>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</si>
  <si>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</si>
  <si>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</si>
  <si>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</si>
  <si>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</si>
  <si>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</si>
  <si>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</si>
  <si>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</si>
  <si>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</si>
  <si>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</si>
  <si>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</si>
  <si>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</si>
  <si>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</si>
  <si>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</si>
  <si>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</si>
  <si>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</si>
  <si>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</si>
  <si>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</si>
  <si>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</si>
  <si>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</si>
  <si>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</si>
  <si>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</si>
  <si>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</si>
  <si>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</si>
  <si>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</si>
  <si>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</si>
  <si>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</si>
  <si>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</si>
  <si>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</si>
  <si>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</si>
  <si>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</si>
  <si>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</si>
  <si>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</si>
  <si>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</si>
  <si>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</si>
  <si>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</si>
  <si>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</si>
  <si>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</si>
  <si>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</si>
  <si>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</si>
  <si>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</si>
  <si>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</si>
  <si>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</si>
  <si>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</si>
  <si>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</si>
  <si>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</si>
  <si>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</si>
  <si>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</si>
  <si>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</si>
  <si>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</si>
  <si>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</si>
  <si>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</si>
  <si>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</si>
  <si>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</si>
  <si>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</si>
  <si>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</si>
  <si>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</si>
  <si>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</si>
  <si>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</si>
  <si>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</si>
  <si>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</si>
  <si>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</si>
  <si>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</si>
  <si>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</si>
  <si>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</si>
  <si>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</si>
  <si>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</si>
  <si>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</si>
  <si>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</si>
  <si>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</si>
  <si>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</si>
  <si>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</si>
  <si>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</si>
  <si>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</si>
  <si>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</si>
  <si>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</si>
  <si>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</si>
  <si>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</si>
  <si>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</si>
  <si>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</si>
  <si>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</si>
  <si>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</si>
  <si>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</si>
  <si>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</si>
  <si>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</si>
  <si>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</si>
  <si>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</si>
  <si>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</si>
  <si>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</si>
  <si>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</si>
  <si>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</si>
  <si>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</si>
  <si>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</si>
  <si>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</si>
  <si>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</si>
  <si>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</si>
  <si>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</si>
  <si>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</si>
  <si>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</si>
  <si>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</si>
  <si>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</si>
  <si>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</si>
  <si>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</si>
  <si>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</si>
  <si>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</si>
  <si>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</si>
  <si>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</si>
  <si>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</si>
  <si>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</si>
  <si>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</si>
  <si>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</si>
  <si>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</si>
  <si>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</si>
  <si>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</si>
  <si>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</si>
  <si>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</si>
  <si>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</si>
  <si>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</si>
  <si>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</si>
  <si>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</si>
  <si>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</si>
  <si>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</si>
  <si>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</si>
  <si>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</si>
  <si>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</si>
  <si>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</si>
  <si>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</si>
  <si>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</si>
  <si>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</si>
  <si>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</si>
  <si>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</si>
  <si>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</si>
  <si>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</si>
  <si>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</si>
  <si>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</si>
  <si>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</si>
  <si>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</si>
  <si>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</si>
  <si>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</si>
  <si>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</si>
  <si>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</si>
  <si>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</si>
  <si>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</si>
  <si>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</si>
  <si>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</si>
  <si>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</si>
  <si>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</si>
  <si>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</si>
  <si>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</si>
  <si>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</si>
  <si>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</si>
  <si>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</si>
  <si>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</si>
  <si>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</si>
  <si>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</si>
  <si>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</si>
  <si>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</si>
  <si>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</si>
  <si>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</si>
  <si>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</si>
  <si>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</si>
  <si>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</si>
  <si>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</si>
  <si>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</si>
  <si>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</si>
  <si>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</si>
  <si>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</si>
  <si>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</si>
  <si>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</si>
  <si>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</si>
  <si>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</si>
  <si>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</si>
  <si>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</si>
  <si>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</si>
  <si>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</si>
  <si>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</si>
  <si>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</si>
  <si>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</si>
  <si>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</si>
  <si>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</si>
  <si>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</si>
  <si>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</si>
  <si>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</si>
  <si>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</si>
  <si>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</si>
  <si>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</si>
  <si>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</si>
  <si>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</si>
  <si>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</si>
  <si>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</si>
  <si>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</si>
  <si>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</si>
  <si>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</si>
  <si>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</si>
  <si>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</si>
  <si>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</si>
  <si>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</si>
  <si>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</si>
  <si>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</si>
  <si>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</si>
  <si>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</si>
  <si>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</si>
  <si>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</si>
  <si>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</si>
  <si>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</si>
  <si>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</si>
  <si>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</si>
  <si>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</si>
  <si>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</si>
  <si>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</si>
  <si>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</si>
  <si>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</si>
  <si>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</si>
  <si>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</si>
  <si>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</si>
  <si>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</si>
  <si>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</si>
  <si>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</si>
  <si>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</si>
  <si>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</si>
  <si>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</si>
  <si>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</si>
  <si>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</si>
  <si>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</si>
  <si>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</si>
  <si>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</si>
  <si>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</si>
  <si>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</si>
  <si>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</si>
  <si>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</si>
  <si>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</si>
  <si>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</si>
  <si>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</si>
  <si>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</si>
  <si>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</si>
  <si>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</si>
  <si>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</si>
  <si>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</si>
  <si>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</si>
  <si>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</si>
  <si>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</si>
  <si>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</si>
  <si>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</si>
  <si>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</si>
  <si>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</si>
  <si>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</si>
  <si>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</si>
  <si>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</si>
  <si>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</si>
  <si>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</si>
  <si>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</si>
  <si>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</si>
  <si>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</si>
  <si>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</si>
  <si>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</si>
  <si>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</si>
  <si>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</si>
  <si>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</si>
  <si>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</si>
  <si>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</si>
  <si>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</si>
  <si>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</si>
  <si>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</si>
  <si>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</si>
  <si>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</si>
  <si>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</si>
  <si>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</si>
  <si>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</si>
  <si>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</si>
  <si>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</si>
  <si>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</si>
  <si>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</si>
  <si>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</si>
  <si>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</si>
  <si>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</si>
  <si>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</si>
  <si>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</si>
  <si>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</si>
  <si>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</si>
  <si>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</si>
  <si>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</si>
  <si>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</si>
  <si>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</si>
  <si>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</si>
  <si>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</si>
  <si>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</si>
  <si>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</si>
  <si>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</si>
  <si>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</si>
  <si>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</si>
  <si>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</si>
  <si>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</si>
  <si>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</si>
  <si>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</si>
  <si>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</si>
  <si>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</si>
  <si>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</si>
  <si>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</si>
  <si>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</si>
  <si>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</si>
  <si>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</si>
  <si>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</si>
  <si>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</si>
  <si>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</si>
  <si>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</si>
  <si>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</si>
  <si>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</si>
  <si>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</si>
  <si>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</si>
  <si>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</si>
  <si>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</si>
  <si>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</si>
  <si>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</si>
  <si>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</si>
  <si>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</si>
  <si>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</si>
  <si>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</si>
  <si>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</si>
  <si>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</si>
  <si>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</si>
  <si>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</si>
  <si>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</si>
  <si>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</si>
  <si>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</si>
  <si>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</si>
  <si>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</si>
  <si>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</si>
  <si>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</si>
  <si>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</si>
  <si>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</si>
  <si>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</si>
  <si>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</si>
  <si>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</si>
  <si>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</si>
  <si>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</si>
  <si>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</si>
  <si>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</si>
  <si>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</si>
  <si>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</si>
  <si>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</si>
  <si>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</si>
  <si>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</si>
  <si>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</si>
  <si>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</si>
  <si>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</si>
  <si>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</si>
  <si>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</si>
  <si>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</si>
  <si>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</si>
  <si>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</si>
  <si>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</si>
  <si>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</si>
  <si>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</si>
  <si>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</si>
  <si>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</si>
  <si>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</si>
  <si>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</si>
  <si>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</si>
  <si>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</si>
  <si>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</si>
  <si>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</si>
  <si>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</si>
  <si>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</si>
  <si>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</si>
  <si>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</si>
  <si>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</si>
  <si>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</si>
  <si>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</si>
  <si>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</si>
  <si>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</si>
  <si>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</si>
  <si>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</si>
  <si>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</si>
  <si>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</si>
  <si>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</si>
  <si>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</si>
  <si>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</si>
  <si>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</si>
  <si>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</si>
  <si>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</si>
  <si>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</si>
  <si>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</si>
  <si>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</si>
  <si>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</si>
  <si>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</si>
  <si>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</si>
  <si>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</si>
  <si>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</si>
  <si>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</si>
  <si>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</si>
  <si>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</si>
  <si>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</si>
  <si>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</si>
  <si>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</si>
  <si>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</si>
  <si>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</si>
  <si>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</si>
  <si>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</si>
  <si>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</si>
  <si>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</si>
  <si>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</si>
  <si>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</si>
  <si>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</si>
  <si>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</si>
  <si>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</si>
  <si>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</si>
  <si>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</si>
  <si>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</si>
  <si>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</si>
  <si>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</si>
  <si>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</si>
  <si>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</si>
  <si>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</si>
  <si>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</si>
  <si>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</si>
  <si>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</si>
  <si>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</si>
  <si>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</si>
  <si>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</si>
  <si>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</si>
  <si>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</si>
  <si>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</si>
  <si>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</si>
  <si>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</si>
  <si>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</si>
  <si>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</si>
  <si>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</si>
  <si>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</si>
  <si>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</si>
  <si>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</si>
  <si>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</si>
  <si>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</si>
  <si>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</si>
  <si>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</si>
  <si>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</si>
  <si>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</si>
  <si>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</si>
  <si>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</si>
  <si>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</si>
  <si>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</si>
  <si>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</si>
  <si>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</si>
  <si>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</si>
  <si>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</si>
  <si>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</si>
  <si>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</si>
  <si>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</si>
  <si>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</si>
  <si>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</si>
  <si>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</si>
  <si>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</si>
  <si>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</si>
  <si>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</si>
  <si>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</si>
  <si>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</si>
  <si>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</si>
  <si>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</si>
  <si>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</si>
  <si>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</si>
  <si>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</si>
  <si>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</si>
  <si>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</si>
  <si>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</si>
  <si>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</si>
  <si>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</si>
  <si>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</si>
  <si>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</si>
  <si>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</si>
  <si>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</si>
  <si>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</si>
  <si>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</si>
  <si>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</si>
  <si>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</si>
  <si>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</si>
  <si>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</si>
  <si>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</si>
  <si>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</si>
  <si>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</si>
  <si>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</si>
  <si>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</si>
  <si>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</si>
  <si>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</si>
  <si>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</si>
  <si>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</si>
  <si>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</si>
  <si>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</si>
  <si>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</si>
  <si>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</si>
  <si>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</si>
  <si>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</si>
  <si>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</si>
  <si>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</si>
  <si>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</si>
  <si>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</si>
  <si>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</si>
  <si>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</si>
  <si>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</si>
  <si>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</si>
  <si>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</si>
  <si>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</si>
  <si>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</si>
  <si>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</si>
  <si>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</si>
  <si>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</si>
  <si>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</si>
  <si>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</si>
  <si>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</si>
  <si>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</si>
  <si>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</si>
  <si>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</si>
  <si>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</si>
  <si>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</si>
  <si>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</si>
  <si>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</si>
  <si>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</si>
  <si>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</si>
  <si>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</si>
  <si>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</si>
  <si>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</si>
  <si>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</si>
  <si>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</si>
  <si>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</si>
  <si>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</si>
  <si>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</si>
  <si>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</si>
  <si>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</si>
  <si>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</si>
  <si>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</si>
  <si>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</si>
  <si>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</si>
  <si>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</si>
  <si>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</si>
  <si>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</si>
  <si>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</si>
  <si>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</si>
  <si>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</si>
  <si>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</si>
  <si>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</si>
  <si>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</si>
  <si>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</si>
  <si>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</si>
  <si>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</si>
  <si>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</si>
  <si>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</si>
  <si>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</si>
  <si>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</si>
  <si>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</si>
  <si>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</si>
  <si>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</si>
  <si>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</si>
  <si>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</si>
  <si>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</si>
  <si>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</si>
  <si>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</si>
  <si>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</si>
  <si>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</si>
  <si>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</si>
  <si>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</si>
  <si>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</si>
  <si>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</si>
  <si>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</si>
  <si>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</si>
  <si>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</si>
  <si>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</si>
  <si>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</si>
  <si>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</si>
  <si>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</si>
  <si>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</si>
  <si>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</si>
  <si>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</si>
  <si>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</si>
  <si>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</si>
  <si>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</si>
  <si>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</si>
  <si>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</si>
  <si>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</si>
  <si>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</si>
  <si>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</si>
  <si>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</si>
  <si>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</si>
  <si>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</si>
  <si>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</si>
  <si>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</si>
  <si>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</si>
  <si>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</si>
  <si>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</si>
  <si>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</si>
  <si>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</si>
  <si>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</si>
  <si>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</si>
  <si>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</si>
  <si>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</si>
  <si>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</si>
  <si>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</si>
  <si>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</si>
  <si>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</si>
  <si>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</si>
  <si>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</si>
  <si>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</si>
  <si>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</si>
  <si>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</si>
  <si>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</si>
  <si>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</si>
  <si>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</si>
  <si>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</si>
  <si>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</si>
  <si>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</si>
  <si>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</si>
  <si>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</si>
  <si>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</si>
  <si>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</si>
  <si>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</si>
  <si>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</si>
  <si>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</si>
  <si>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</si>
  <si>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</si>
  <si>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</si>
  <si>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</si>
  <si>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</si>
  <si>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</si>
  <si>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</si>
  <si>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</si>
  <si>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</si>
  <si>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</si>
  <si>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</si>
  <si>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</si>
  <si>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</si>
  <si>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</si>
  <si>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</si>
  <si>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</si>
  <si>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</si>
  <si>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</si>
  <si>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</si>
  <si>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</si>
  <si>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</si>
  <si>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</si>
  <si>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</si>
  <si>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</si>
  <si>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</si>
  <si>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</si>
  <si>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</si>
  <si>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</si>
  <si>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</si>
  <si>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</si>
  <si>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</si>
  <si>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</si>
  <si>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</si>
  <si>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</si>
  <si>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</si>
  <si>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</si>
  <si>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</si>
  <si>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</si>
  <si>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</si>
  <si>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</si>
  <si>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</si>
  <si>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</si>
  <si>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</si>
  <si>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</si>
  <si>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</si>
  <si>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</si>
  <si>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</si>
  <si>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</si>
  <si>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</si>
  <si>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</si>
  <si>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</si>
  <si>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</si>
  <si>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</si>
  <si>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</si>
  <si>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</si>
  <si>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</si>
  <si>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</si>
  <si>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</si>
  <si>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</si>
  <si>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</si>
  <si>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</si>
  <si>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</si>
  <si>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</si>
  <si>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</si>
  <si>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</si>
  <si>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</si>
  <si>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</si>
  <si>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</si>
  <si>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</si>
  <si>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</si>
  <si>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</si>
  <si>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</si>
  <si>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</si>
  <si>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</si>
  <si>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</si>
  <si>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</si>
  <si>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</si>
  <si>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</si>
  <si>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</si>
  <si>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</si>
  <si>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</si>
  <si>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</si>
  <si>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</si>
  <si>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</si>
  <si>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</si>
  <si>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</si>
  <si>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</si>
  <si>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</si>
  <si>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</si>
  <si>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</si>
  <si>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</si>
  <si>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</si>
  <si>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</si>
  <si>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</si>
  <si>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</si>
  <si>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</si>
  <si>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</si>
  <si>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</si>
  <si>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</si>
  <si>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</si>
  <si>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</si>
  <si>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</si>
  <si>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</si>
  <si>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</si>
  <si>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</si>
  <si>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</si>
  <si>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</si>
  <si>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</si>
  <si>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</si>
  <si>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</si>
  <si>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</si>
  <si>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</si>
  <si>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</si>
  <si>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</si>
  <si>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</si>
  <si>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</si>
  <si>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</si>
  <si>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</si>
  <si>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</si>
  <si>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</si>
  <si>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</si>
  <si>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</si>
  <si>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</si>
  <si>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</si>
  <si>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</si>
  <si>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</si>
  <si>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</si>
  <si>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</si>
  <si>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</si>
  <si>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</si>
  <si>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</si>
  <si>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</si>
  <si>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</si>
  <si>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</si>
  <si>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</si>
  <si>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</si>
  <si>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</si>
  <si>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</si>
  <si>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</si>
  <si>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</si>
  <si>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</si>
  <si>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</si>
  <si>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</si>
  <si>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</si>
  <si>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</si>
  <si>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</si>
  <si>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</si>
  <si>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</si>
  <si>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</si>
  <si>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</si>
  <si>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</si>
  <si>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</si>
  <si>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</si>
  <si>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</si>
  <si>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</si>
  <si>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</si>
  <si>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</si>
  <si>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</si>
  <si>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</si>
  <si>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</si>
  <si>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</si>
  <si>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</si>
  <si>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</si>
  <si>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</si>
  <si>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</si>
  <si>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</si>
  <si>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</si>
  <si>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</si>
  <si>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</si>
  <si>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</si>
  <si>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</si>
  <si>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</si>
  <si>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</si>
  <si>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</si>
  <si>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</si>
  <si>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</si>
  <si>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</si>
  <si>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</si>
  <si>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</si>
  <si>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</si>
  <si>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</si>
  <si>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</si>
  <si>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</si>
  <si>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</si>
  <si>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</si>
  <si>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</si>
  <si>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</si>
  <si>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</si>
  <si>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</si>
  <si>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</si>
  <si>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</si>
  <si>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</si>
  <si>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</si>
  <si>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</si>
  <si>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</si>
  <si>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</si>
  <si>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</si>
  <si>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</si>
  <si>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</si>
  <si>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</si>
  <si>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</si>
  <si>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</si>
  <si>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</si>
  <si>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</si>
  <si>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</si>
  <si>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</si>
  <si>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</si>
  <si>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</si>
  <si>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</si>
  <si>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</si>
  <si>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</si>
  <si>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</si>
  <si>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</si>
  <si>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</si>
  <si>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</si>
  <si>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</si>
  <si>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</si>
  <si>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</si>
  <si>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</si>
  <si>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</si>
  <si>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</si>
  <si>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</si>
  <si>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</si>
  <si>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</si>
  <si>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</si>
  <si>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</si>
  <si>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</si>
  <si>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</si>
  <si>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</si>
  <si>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</si>
  <si>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</si>
  <si>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</si>
  <si>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</si>
  <si>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</si>
  <si>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</si>
  <si>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</si>
  <si>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</si>
  <si>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</si>
  <si>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</si>
  <si>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</si>
  <si>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</si>
  <si>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</si>
  <si>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</si>
  <si>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</si>
  <si>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</si>
  <si>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</si>
  <si>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</si>
  <si>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</si>
  <si>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</si>
  <si>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</si>
  <si>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</si>
  <si>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</si>
  <si>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</si>
  <si>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</si>
  <si>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</si>
  <si>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</si>
  <si>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</si>
  <si>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</si>
  <si>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</si>
  <si>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</si>
  <si>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</si>
  <si>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</si>
  <si>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</si>
  <si>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</si>
  <si>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</si>
  <si>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</si>
  <si>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</si>
  <si>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</si>
  <si>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</si>
  <si>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</si>
  <si>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</si>
  <si>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</si>
  <si>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</si>
  <si>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</si>
  <si>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</si>
  <si>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</si>
  <si>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</si>
  <si>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</si>
  <si>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</si>
  <si>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</si>
  <si>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</si>
  <si>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951-781-53070</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</si>
  <si>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</si>
  <si>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100%</t>
  </si>
  <si>
    <t>http://www.bourns.com/docs/RoHS-Content/conflict_metals_statement.pdf?sfvrsn=f2ab84f1_11</t>
  </si>
  <si>
    <t>Wafers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</si>
</sst>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67" fillId="0" borderId="0" applyNumberFormat="0" applyFill="0" applyBorder="0">
      <protection locked="0"/>
    </xf>
    <xf numFmtId="0" fontId="1" fillId="0" borderId="0"/>
  </cellStyleXfs>
  <cellXfs count="400">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0" fillId="0" borderId="19" xfId="0" applyNumberFormat="1" applyBorder="1" applyProtection="1">
      <protection locked="0"/>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986BE79C-9380-453D-A6BC-DF177BAE2709}"/>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05684B1D-5C49-4D49-ADF1-637569679CC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ssica.martin@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ourns.com/docs/RoHS-Content/conflict_metals_statement.pdf?sfvrsn=f2ab84f1_11"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2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2F55EDC-CF5F-47B0-94A8-4F440326D67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F23FD04-205F-4D84-AFDD-6F590A61DE8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90" sqref="B90:J9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45072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488</v>
      </c>
      <c r="E40" s="327"/>
      <c r="F40" s="47"/>
      <c r="G40" s="334" t="s">
        <v>15805</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488</v>
      </c>
      <c r="E46" s="327"/>
      <c r="F46" s="47"/>
      <c r="G46" s="334" t="s">
        <v>15805</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15806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15807</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Yes</v>
      </c>
    </row>
    <row r="101" spans="2:7" ht="15" hidden="1">
      <c r="B101" s="236" t="s">
        <v>2481</v>
      </c>
      <c r="D101" s="282" t="str">
        <f>IF(AND(OR($D$27="Yes",$D$27=""),OR($D$33="Yes",$D$33="")),"Unknown","")</f>
        <v/>
      </c>
      <c r="E101" s="282" t="str">
        <f>IF(AND(OR($D$26="Yes",$D$26=""),OR($D$32="Yes",$D$32="")),"None","")</f>
        <v/>
      </c>
      <c r="G101" s="282" t="str">
        <f>IF(OR($D$28="Yes",$D$28=""),"No","")</f>
        <v>No</v>
      </c>
    </row>
    <row r="102" spans="2:7" ht="15" hidden="1">
      <c r="B102" s="236" t="s">
        <v>2482</v>
      </c>
      <c r="D102" s="282" t="str">
        <f>IF(AND(OR($D$28="Yes",$D$28=""),OR($D$34="Yes",$D$34="")),"Yes","")</f>
        <v>Yes</v>
      </c>
      <c r="E102" s="282" t="str">
        <f>IF(AND(OR($D$27="Yes",$D$27=""),OR($D$33="Yes",$D$33="")),"100%","")</f>
        <v/>
      </c>
      <c r="G102" s="282" t="str">
        <f>IF(OR($D$29="Yes",$D$29=""),"Yes","")</f>
        <v/>
      </c>
    </row>
    <row r="103" spans="2:7" ht="15" hidden="1">
      <c r="B103" s="236" t="s">
        <v>2483</v>
      </c>
      <c r="D103" s="282" t="str">
        <f>IF(AND(OR($D$28="Yes",$D$28=""),OR($D$34="Yes",$D$34="")),"No","")</f>
        <v>No</v>
      </c>
      <c r="E103" s="282" t="str">
        <f>IF(AND(OR($D$27="Yes",$D$27=""),OR($D$33="Yes",$D$33="")),"Greater than 90%","")</f>
        <v/>
      </c>
      <c r="G103" s="282" t="str">
        <f>IF(OR($D$29="Yes",$D$29=""),"No","")</f>
        <v/>
      </c>
    </row>
    <row r="104" spans="2:7" ht="15" hidden="1">
      <c r="B104" s="236" t="s">
        <v>491</v>
      </c>
      <c r="D104" s="282" t="str">
        <f>IF(AND(OR($D$28="Yes",$D$28=""),OR($D$34="Yes",$D$34="")),"Unknown","")</f>
        <v>Unknown</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77:J77"/>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D69:E69"/>
    <mergeCell ref="D68:E68"/>
    <mergeCell ref="G62:J62"/>
    <mergeCell ref="D52:E52"/>
    <mergeCell ref="G57:J57"/>
    <mergeCell ref="G58:J58"/>
    <mergeCell ref="G59:J59"/>
    <mergeCell ref="D58:E58"/>
    <mergeCell ref="D55:E55"/>
    <mergeCell ref="D53:E53"/>
    <mergeCell ref="G40:J40"/>
    <mergeCell ref="G46:J46"/>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6C1E2EA8-D08F-4CF3-834E-8EC9B287181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5" sqref="C1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399" t="s">
        <v>654</v>
      </c>
      <c r="B5" s="182" t="str">
        <f ca="1">IF(LEN(A5)=0,"",INDEX('Smelter Look-up'!$A:$A,MATCH($A5,'Smelter Look-up'!$E:$E,0)))</f>
        <v>Gold</v>
      </c>
      <c r="C5" s="186" t="str">
        <f ca="1">IF(LEN(A5)=0,"",INDEX('Smelter Look-up'!$C:$C,MATCH($A5,'Smelter Look-up'!$E:$E,0)))</f>
        <v>Argor-Heraeus S.A.</v>
      </c>
      <c r="D5" s="230"/>
      <c r="E5" s="182" t="str">
        <f ca="1">IF(ISERROR($V5),"",OFFSET('Smelter Look-up'!$D$4,$V5-4,0)&amp;"")</f>
        <v>SWITZERLAND</v>
      </c>
      <c r="F5" s="182" t="str">
        <f ca="1">IF(ISERROR($V5),"",OFFSET('Smelter Look-up'!$E$4,$V5-4,0))</f>
        <v>CID000077</v>
      </c>
      <c r="G5" s="182" t="str">
        <f ca="1">IF(C5=$X$4,IF(ISERROR($V5),"Enter smelter details","RMI"),IF(ISERROR($V5),"",OFFSET('Smelter Look-up'!$F$4,$V5-4,0)))</f>
        <v>RMI</v>
      </c>
      <c r="H5" s="183">
        <f ca="1">IF(ISERROR($V5),"",OFFSET('Smelter Look-up'!$G$4,$V5-4,0))</f>
        <v>0</v>
      </c>
      <c r="I5" s="184" t="str">
        <f ca="1">IF(ISERROR($V5),"",OFFSET('Smelter Look-up'!$H$4,$V5-4,0))</f>
        <v>Mendrisio</v>
      </c>
      <c r="J5" s="184" t="str">
        <f ca="1">IF(ISERROR($V5),"",OFFSET('Smelter Look-up'!$I$4,$V5-4,0))</f>
        <v>Ticino</v>
      </c>
      <c r="K5" s="224"/>
      <c r="L5" s="224"/>
      <c r="M5" s="224"/>
      <c r="N5" s="224"/>
      <c r="O5" s="224"/>
      <c r="P5" s="185"/>
      <c r="Q5" s="225"/>
      <c r="R5" s="182" t="str">
        <f ca="1">IF(ISERROR($V5),"",OFFSET('Smelter Look-up'!$C$4,$V5-4,0)&amp;"")</f>
        <v>Argor-Heraeus S.A.</v>
      </c>
      <c r="S5" s="181" t="str">
        <f t="shared" ref="S5" ca="1" si="0">IF(B5="","",IF(ISERROR(MATCH($E5,CL,0)),"Unknown",INDIRECT("'C'!$A$"&amp;MATCH($E5,CL,0)+1)))</f>
        <v>CH</v>
      </c>
      <c r="T5" s="181" t="str">
        <f ca="1">IF(B5="","",IF(ISERROR(MATCH($J5,SorP!$B$1:$B$6279,0)),"",INDIRECT("'SorP'!$A$"&amp;MATCH($S5&amp;$J5,SorP!C:C,0))))</f>
        <v>CH-TI</v>
      </c>
      <c r="U5" s="201"/>
      <c r="V5" s="226">
        <f ca="1">IF(C5="",NA(),IF(OR(C5="Smelter not listed",C5="Smelter not yet identified"),MATCH($B5&amp;$D5,'Smelter Look-up'!$J:$J,0),MATCH($B5&amp;$C5,'Smelter Look-up'!$J:$J,0)))</f>
        <v>28</v>
      </c>
      <c r="X5" s="227">
        <f t="shared" ref="X5" ca="1" si="1">IF(AND(C5="Smelter not listed",OR(LEN(D5)=0,LEN(E5)=0)),1,0)</f>
        <v>0</v>
      </c>
      <c r="AB5" s="228" t="str">
        <f t="shared" ref="AB5" ca="1" si="2">B5&amp;C5</f>
        <v>GoldArgor-Heraeus S.A.</v>
      </c>
    </row>
    <row r="6" spans="1:34" s="227" customFormat="1" ht="20" customHeight="1">
      <c r="A6" s="399" t="s">
        <v>666</v>
      </c>
      <c r="B6" s="182" t="str">
        <f ca="1">IF(LEN(A6)=0,"",INDEX('Smelter Look-up'!$A:$A,MATCH($A6,'Smelter Look-up'!$E:$E,0)))</f>
        <v>Gold</v>
      </c>
      <c r="C6" s="186" t="str">
        <f ca="1">IF(LEN(A6)=0,"",INDEX('Smelter Look-up'!$C:$C,MATCH($A6,'Smelter Look-up'!$E:$E,0)))</f>
        <v>Chimet S.p.A.</v>
      </c>
      <c r="D6" s="230"/>
      <c r="E6" s="182" t="str">
        <f ca="1">IF(ISERROR($V6),"",OFFSET('Smelter Look-up'!$D$4,$V6-4,0)&amp;"")</f>
        <v>ITALY</v>
      </c>
      <c r="F6" s="182" t="str">
        <f ca="1">IF(ISERROR($V6),"",OFFSET('Smelter Look-up'!$E$4,$V6-4,0))</f>
        <v>CID000233</v>
      </c>
      <c r="G6" s="182" t="str">
        <f ca="1">IF(C6=$X$4,IF(ISERROR($V6),"Enter smelter details","RMI"),IF(ISERROR($V6),"",OFFSET('Smelter Look-up'!$F$4,$V6-4,0)))</f>
        <v>RMI</v>
      </c>
      <c r="H6" s="183">
        <f ca="1">IF(ISERROR($V6),"",OFFSET('Smelter Look-up'!$G$4,$V6-4,0))</f>
        <v>0</v>
      </c>
      <c r="I6" s="184" t="str">
        <f ca="1">IF(ISERROR($V6),"",OFFSET('Smelter Look-up'!$H$4,$V6-4,0))</f>
        <v>Arezzo</v>
      </c>
      <c r="J6" s="184" t="str">
        <f ca="1">IF(ISERROR($V6),"",OFFSET('Smelter Look-up'!$I$4,$V6-4,0))</f>
        <v>Toscana</v>
      </c>
      <c r="K6" s="224"/>
      <c r="L6" s="224"/>
      <c r="M6" s="224"/>
      <c r="N6" s="224"/>
      <c r="O6" s="224"/>
      <c r="P6" s="185"/>
      <c r="Q6" s="225"/>
      <c r="R6" s="182" t="str">
        <f ca="1">IF(ISERROR($V6),"",OFFSET('Smelter Look-up'!$C$4,$V6-4,0)&amp;"")</f>
        <v>Chimet S.p.A.</v>
      </c>
      <c r="S6" s="181" t="str">
        <f t="shared" ref="S6:S37" ca="1" si="3">IF(B6="","",IF(ISERROR(MATCH($E6,CL,0)),"Unknown",INDIRECT("'C'!$A$"&amp;MATCH($E6,CL,0)+1)))</f>
        <v>IT</v>
      </c>
      <c r="T6" s="181" t="str">
        <f ca="1">IF(B6="","",IF(ISERROR(MATCH($J6,SorP!$B$1:$B$6279,0)),"",INDIRECT("'SorP'!$A$"&amp;MATCH($S6&amp;$J6,SorP!C:C,0))))</f>
        <v>IT-52</v>
      </c>
      <c r="U6" s="201"/>
      <c r="V6" s="226">
        <f ca="1">IF(C6="",NA(),IF(OR(C6="Smelter not listed",C6="Smelter not yet identified"),MATCH($B6&amp;$D6,'Smelter Look-up'!$J:$J,0),MATCH($B6&amp;$C6,'Smelter Look-up'!$J:$J,0)))</f>
        <v>55</v>
      </c>
      <c r="X6" s="227">
        <f t="shared" ref="X6:X37" ca="1" si="4">IF(AND(C6="Smelter not listed",OR(LEN(D6)=0,LEN(E6)=0)),1,0)</f>
        <v>0</v>
      </c>
      <c r="AB6" s="228" t="str">
        <f t="shared" ref="AB6:AB37" ca="1" si="5">B6&amp;C6</f>
        <v>GoldChimet S.p.A.</v>
      </c>
    </row>
    <row r="7" spans="1:34" s="227" customFormat="1" ht="20" customHeight="1">
      <c r="A7" s="399" t="s">
        <v>1620</v>
      </c>
      <c r="B7" s="182" t="str">
        <f ca="1">IF(LEN(A7)=0,"",INDEX('Smelter Look-up'!$A:$A,MATCH($A7,'Smelter Look-up'!$E:$E,0)))</f>
        <v>Gold</v>
      </c>
      <c r="C7" s="186" t="str">
        <f ca="1">IF(LEN(A7)=0,"",INDEX('Smelter Look-up'!$C:$C,MATCH($A7,'Smelter Look-up'!$E:$E,0)))</f>
        <v>Metalor Technologies (Suzhou) Ltd.</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ca="1" si="3"/>
        <v>CN</v>
      </c>
      <c r="T7" s="181" t="str">
        <f ca="1">IF(B7="","",IF(ISERROR(MATCH($J7,SorP!$B$1:$B$6279,0)),"",INDIRECT("'SorP'!$A$"&amp;MATCH($S7&amp;$J7,SorP!C:C,0))))</f>
        <v>CN-JS</v>
      </c>
      <c r="U7" s="201"/>
      <c r="V7" s="226">
        <f ca="1">IF(C7="",NA(),IF(OR(C7="Smelter not listed",C7="Smelter not yet identified"),MATCH($B7&amp;$D7,'Smelter Look-up'!$J:$J,0),MATCH($B7&amp;$C7,'Smelter Look-up'!$J:$J,0)))</f>
        <v>174</v>
      </c>
      <c r="X7" s="227">
        <f t="shared" ca="1" si="4"/>
        <v>0</v>
      </c>
      <c r="AB7" s="228" t="str">
        <f t="shared" ca="1" si="5"/>
        <v>GoldMetalor Technologies (Suzhou) Ltd.</v>
      </c>
    </row>
    <row r="8" spans="1:34" s="227" customFormat="1" ht="20" customHeight="1">
      <c r="A8" s="399" t="s">
        <v>703</v>
      </c>
      <c r="B8" s="182" t="str">
        <f ca="1">IF(LEN(A8)=0,"",INDEX('Smelter Look-up'!$A:$A,MATCH($A8,'Smelter Look-up'!$E:$E,0)))</f>
        <v>Gold</v>
      </c>
      <c r="C8" s="186" t="str">
        <f ca="1">IF(LEN(A8)=0,"",INDEX('Smelter Look-up'!$C:$C,MATCH($A8,'Smelter Look-up'!$E:$E,0)))</f>
        <v>Metalor Technologies (Hong Kong) Ltd.</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 (see also separate country code entry under HK)</v>
      </c>
      <c r="K8" s="224"/>
      <c r="L8" s="224"/>
      <c r="M8" s="224"/>
      <c r="N8" s="224"/>
      <c r="O8" s="224"/>
      <c r="P8" s="185"/>
      <c r="Q8" s="225"/>
      <c r="R8" s="182" t="str">
        <f ca="1">IF(ISERROR($V8),"",OFFSET('Smelter Look-up'!$C$4,$V8-4,0)&amp;"")</f>
        <v>Metalor Technologies (Hong Kong) Ltd.</v>
      </c>
      <c r="S8" s="181" t="str">
        <f t="shared" ca="1" si="3"/>
        <v>CN</v>
      </c>
      <c r="T8" s="181" t="str">
        <f ca="1">IF(B8="","",IF(ISERROR(MATCH($J8,SorP!$B$1:$B$6279,0)),"",INDIRECT("'SorP'!$A$"&amp;MATCH($S8&amp;$J8,SorP!C:C,0))))</f>
        <v>CN-HK</v>
      </c>
      <c r="U8" s="201"/>
      <c r="V8" s="226">
        <f ca="1">IF(C8="",NA(),IF(OR(C8="Smelter not listed",C8="Smelter not yet identified"),MATCH($B8&amp;$D8,'Smelter Look-up'!$J:$J,0),MATCH($B8&amp;$C8,'Smelter Look-up'!$J:$J,0)))</f>
        <v>172</v>
      </c>
      <c r="X8" s="227">
        <f t="shared" ca="1" si="4"/>
        <v>0</v>
      </c>
      <c r="AB8" s="228" t="str">
        <f t="shared" ca="1" si="5"/>
        <v>GoldMetalor Technologies (Hong Kong) Ltd.</v>
      </c>
    </row>
    <row r="9" spans="1:34" s="227" customFormat="1" ht="20" customHeight="1">
      <c r="A9" s="399" t="s">
        <v>704</v>
      </c>
      <c r="B9" s="182" t="str">
        <f ca="1">IF(LEN(A9)=0,"",INDEX('Smelter Look-up'!$A:$A,MATCH($A9,'Smelter Look-up'!$E:$E,0)))</f>
        <v>Gold</v>
      </c>
      <c r="C9" s="186" t="str">
        <f ca="1">IF(LEN(A9)=0,"",INDEX('Smelter Look-up'!$C:$C,MATCH($A9,'Smelter Look-up'!$E:$E,0)))</f>
        <v>Metalor Technologies (Singapore) Pte., Ltd.</v>
      </c>
      <c r="D9" s="230"/>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4"/>
      <c r="L9" s="224"/>
      <c r="M9" s="224"/>
      <c r="N9" s="224"/>
      <c r="O9" s="224"/>
      <c r="P9" s="185"/>
      <c r="Q9" s="225"/>
      <c r="R9" s="182" t="str">
        <f ca="1">IF(ISERROR($V9),"",OFFSET('Smelter Look-up'!$C$4,$V9-4,0)&amp;"")</f>
        <v>Metalor Technologies (Singapore) Pte., Ltd.</v>
      </c>
      <c r="S9" s="181" t="str">
        <f t="shared" ca="1" si="3"/>
        <v>SG</v>
      </c>
      <c r="T9" s="181" t="str">
        <f ca="1">IF(B9="","",IF(ISERROR(MATCH($J9,SorP!$B$1:$B$6279,0)),"",INDIRECT("'SorP'!$A$"&amp;MATCH($S9&amp;$J9,SorP!C:C,0))))</f>
        <v>SG-05</v>
      </c>
      <c r="U9" s="201"/>
      <c r="V9" s="226">
        <f ca="1">IF(C9="",NA(),IF(OR(C9="Smelter not listed",C9="Smelter not yet identified"),MATCH($B9&amp;$D9,'Smelter Look-up'!$J:$J,0),MATCH($B9&amp;$C9,'Smelter Look-up'!$J:$J,0)))</f>
        <v>173</v>
      </c>
      <c r="X9" s="227">
        <f t="shared" ca="1" si="4"/>
        <v>0</v>
      </c>
      <c r="AB9" s="228" t="str">
        <f t="shared" ca="1" si="5"/>
        <v>GoldMetalor Technologies (Singapore) Pte., Ltd.</v>
      </c>
    </row>
    <row r="10" spans="1:34" s="227" customFormat="1" ht="20" customHeight="1">
      <c r="A10" s="399" t="s">
        <v>705</v>
      </c>
      <c r="B10" s="182" t="str">
        <f ca="1">IF(LEN(A10)=0,"",INDEX('Smelter Look-up'!$A:$A,MATCH($A10,'Smelter Look-up'!$E:$E,0)))</f>
        <v>Gold</v>
      </c>
      <c r="C10" s="186" t="str">
        <f ca="1">IF(LEN(A10)=0,"",INDEX('Smelter Look-up'!$C:$C,MATCH($A10,'Smelter Look-up'!$E:$E,0)))</f>
        <v>Metalor Technologies S.A.</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c r="R10" s="182" t="str">
        <f ca="1">IF(ISERROR($V10),"",OFFSET('Smelter Look-up'!$C$4,$V10-4,0)&amp;"")</f>
        <v>Metalor Technologies S.A.</v>
      </c>
      <c r="S10" s="181" t="str">
        <f t="shared" ca="1" si="3"/>
        <v>CH</v>
      </c>
      <c r="T10" s="181" t="str">
        <f ca="1">IF(B10="","",IF(ISERROR(MATCH($J10,SorP!$B$1:$B$6279,0)),"",INDIRECT("'SorP'!$A$"&amp;MATCH($S10&amp;$J10,SorP!C:C,0))))</f>
        <v>CH-NE</v>
      </c>
      <c r="U10" s="201"/>
      <c r="V10" s="226">
        <f ca="1">IF(C10="",NA(),IF(OR(C10="Smelter not listed",C10="Smelter not yet identified"),MATCH($B10&amp;$D10,'Smelter Look-up'!$J:$J,0),MATCH($B10&amp;$C10,'Smelter Look-up'!$J:$J,0)))</f>
        <v>175</v>
      </c>
      <c r="X10" s="227">
        <f t="shared" ca="1" si="4"/>
        <v>0</v>
      </c>
      <c r="AB10" s="228" t="str">
        <f t="shared" ca="1" si="5"/>
        <v>GoldMetalor Technologies S.A.</v>
      </c>
    </row>
    <row r="11" spans="1:34" s="227" customFormat="1" ht="20" customHeight="1">
      <c r="A11" s="399" t="s">
        <v>706</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3"/>
        <v>US</v>
      </c>
      <c r="T11" s="181" t="str">
        <f ca="1">IF(B11="","",IF(ISERROR(MATCH($J11,SorP!$B$1:$B$6279,0)),"",INDIRECT("'SorP'!$A$"&amp;MATCH($S11&amp;$J11,SorP!C:C,0))))</f>
        <v>US-MA</v>
      </c>
      <c r="U11" s="201"/>
      <c r="V11" s="226">
        <f ca="1">IF(C11="",NA(),IF(OR(C11="Smelter not listed",C11="Smelter not yet identified"),MATCH($B11&amp;$D11,'Smelter Look-up'!$J:$J,0),MATCH($B11&amp;$C11,'Smelter Look-up'!$J:$J,0)))</f>
        <v>176</v>
      </c>
      <c r="X11" s="227">
        <f t="shared" ca="1" si="4"/>
        <v>0</v>
      </c>
      <c r="AB11" s="228" t="str">
        <f t="shared" ca="1" si="5"/>
        <v>GoldMetalor USA Refining Corporation</v>
      </c>
    </row>
    <row r="12" spans="1:34" s="227" customFormat="1" ht="20" customHeight="1">
      <c r="A12" s="399" t="s">
        <v>722</v>
      </c>
      <c r="B12" s="182" t="str">
        <f ca="1">IF(LEN(A12)=0,"",INDEX('Smelter Look-up'!$A:$A,MATCH($A12,'Smelter Look-up'!$E:$E,0)))</f>
        <v>Gold</v>
      </c>
      <c r="C12" s="186" t="str">
        <f ca="1">IF(LEN(A12)=0,"",INDEX('Smelter Look-up'!$C:$C,MATCH($A12,'Smelter Look-up'!$E:$E,0)))</f>
        <v>Royal Canadian Mint</v>
      </c>
      <c r="D12" s="230"/>
      <c r="E12" s="182" t="str">
        <f ca="1">IF(ISERROR($V12),"",OFFSET('Smelter Look-up'!$D$4,$V12-4,0)&amp;"")</f>
        <v>CANADA</v>
      </c>
      <c r="F12" s="182" t="str">
        <f ca="1">IF(ISERROR($V12),"",OFFSET('Smelter Look-up'!$E$4,$V12-4,0))</f>
        <v>CID001534</v>
      </c>
      <c r="G12" s="182" t="str">
        <f ca="1">IF(C12=$X$4,IF(ISERROR($V12),"Enter smelter details","RMI"),IF(ISERROR($V12),"",OFFSET('Smelter Look-up'!$F$4,$V12-4,0)))</f>
        <v>RMI</v>
      </c>
      <c r="H12" s="183">
        <f ca="1">IF(ISERROR($V12),"",OFFSET('Smelter Look-up'!$G$4,$V12-4,0))</f>
        <v>0</v>
      </c>
      <c r="I12" s="184" t="str">
        <f ca="1">IF(ISERROR($V12),"",OFFSET('Smelter Look-up'!$H$4,$V12-4,0))</f>
        <v>Ottawa</v>
      </c>
      <c r="J12" s="184" t="str">
        <f ca="1">IF(ISERROR($V12),"",OFFSET('Smelter Look-up'!$I$4,$V12-4,0))</f>
        <v>Ontario</v>
      </c>
      <c r="K12" s="224"/>
      <c r="L12" s="224"/>
      <c r="M12" s="224"/>
      <c r="N12" s="224"/>
      <c r="O12" s="224"/>
      <c r="P12" s="185"/>
      <c r="Q12" s="225"/>
      <c r="R12" s="182" t="str">
        <f ca="1">IF(ISERROR($V12),"",OFFSET('Smelter Look-up'!$C$4,$V12-4,0)&amp;"")</f>
        <v>Royal Canadian Mint</v>
      </c>
      <c r="S12" s="181" t="str">
        <f t="shared" ca="1" si="3"/>
        <v>CA</v>
      </c>
      <c r="T12" s="181" t="str">
        <f ca="1">IF(B12="","",IF(ISERROR(MATCH($J12,SorP!$B$1:$B$6279,0)),"",INDIRECT("'SorP'!$A$"&amp;MATCH($S12&amp;$J12,SorP!C:C,0))))</f>
        <v>CA-ON</v>
      </c>
      <c r="U12" s="201"/>
      <c r="V12" s="226">
        <f ca="1">IF(C12="",NA(),IF(OR(C12="Smelter not listed",C12="Smelter not yet identified"),MATCH($B12&amp;$D12,'Smelter Look-up'!$J:$J,0),MATCH($B12&amp;$C12,'Smelter Look-up'!$J:$J,0)))</f>
        <v>220</v>
      </c>
      <c r="X12" s="227">
        <f t="shared" ca="1" si="4"/>
        <v>0</v>
      </c>
      <c r="AB12" s="228" t="str">
        <f t="shared" ca="1" si="5"/>
        <v>GoldRoyal Canadian Mint</v>
      </c>
    </row>
    <row r="13" spans="1:34" s="227" customFormat="1" ht="20" customHeight="1">
      <c r="A13" s="399" t="s">
        <v>725</v>
      </c>
      <c r="B13" s="182" t="str">
        <f ca="1">IF(LEN(A13)=0,"",INDEX('Smelter Look-up'!$A:$A,MATCH($A13,'Smelter Look-up'!$E:$E,0)))</f>
        <v>Gold</v>
      </c>
      <c r="C13" s="186" t="str">
        <f ca="1">IF(LEN(A13)=0,"",INDEX('Smelter Look-up'!$C:$C,MATCH($A13,'Smelter Look-up'!$E:$E,0)))</f>
        <v>SEMPSA Joyeria Plateria S.A.</v>
      </c>
      <c r="D13" s="230"/>
      <c r="E13" s="182" t="str">
        <f ca="1">IF(ISERROR($V13),"",OFFSET('Smelter Look-up'!$D$4,$V13-4,0)&amp;"")</f>
        <v>SPAIN</v>
      </c>
      <c r="F13" s="182" t="str">
        <f ca="1">IF(ISERROR($V13),"",OFFSET('Smelter Look-up'!$E$4,$V13-4,0))</f>
        <v>CID001585</v>
      </c>
      <c r="G13" s="182" t="str">
        <f ca="1">IF(C13=$X$4,IF(ISERROR($V13),"Enter smelter details","RMI"),IF(ISERROR($V13),"",OFFSET('Smelter Look-up'!$F$4,$V13-4,0)))</f>
        <v>RMI</v>
      </c>
      <c r="H13" s="183">
        <f ca="1">IF(ISERROR($V13),"",OFFSET('Smelter Look-up'!$G$4,$V13-4,0))</f>
        <v>0</v>
      </c>
      <c r="I13" s="184" t="str">
        <f ca="1">IF(ISERROR($V13),"",OFFSET('Smelter Look-up'!$H$4,$V13-4,0))</f>
        <v>Madrid</v>
      </c>
      <c r="J13" s="184" t="str">
        <f ca="1">IF(ISERROR($V13),"",OFFSET('Smelter Look-up'!$I$4,$V13-4,0))</f>
        <v>Madrid, Comunidad de</v>
      </c>
      <c r="K13" s="224"/>
      <c r="L13" s="224"/>
      <c r="M13" s="224"/>
      <c r="N13" s="224"/>
      <c r="O13" s="224"/>
      <c r="P13" s="185"/>
      <c r="Q13" s="225"/>
      <c r="R13" s="182" t="str">
        <f ca="1">IF(ISERROR($V13),"",OFFSET('Smelter Look-up'!$C$4,$V13-4,0)&amp;"")</f>
        <v>SEMPSA Joyeria Plateria S.A.</v>
      </c>
      <c r="S13" s="181" t="str">
        <f t="shared" ca="1" si="3"/>
        <v>ES</v>
      </c>
      <c r="T13" s="181" t="str">
        <f ca="1">IF(B13="","",IF(ISERROR(MATCH($J13,SorP!$B$1:$B$6279,0)),"",INDIRECT("'SorP'!$A$"&amp;MATCH($S13&amp;$J13,SorP!C:C,0))))</f>
        <v>ES-MD</v>
      </c>
      <c r="U13" s="201"/>
      <c r="V13" s="226">
        <f ca="1">IF(C13="",NA(),IF(OR(C13="Smelter not listed",C13="Smelter not yet identified"),MATCH($B13&amp;$D13,'Smelter Look-up'!$J:$J,0),MATCH($B13&amp;$C13,'Smelter Look-up'!$J:$J,0)))</f>
        <v>234</v>
      </c>
      <c r="X13" s="227">
        <f t="shared" ca="1" si="4"/>
        <v>0</v>
      </c>
      <c r="AB13" s="228" t="str">
        <f t="shared" ca="1" si="5"/>
        <v>GoldSEMPSA Joyeria Plateria S.A.</v>
      </c>
    </row>
    <row r="14" spans="1:34" s="227" customFormat="1" ht="20" customHeight="1">
      <c r="A14" s="399"/>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6D308E9-9DC4-4C4D-87CA-99E13B2E67B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http://www.bourns.com/docs/RoHS-Content/conflict_metals_statement.pdf?sfvrsn=f2ab84f1_11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7" sqref="B7"/>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15808</v>
      </c>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2023-05-26T18:42:37Z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