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D4E91D41-0D62-47D5-A8D7-6AAA0ACD86A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C9" i="5"/>
  <c r="C10" i="5"/>
  <c r="C11" i="5"/>
  <c r="C12" i="5"/>
  <c r="C13" i="5"/>
  <c r="C14" i="5"/>
  <c r="C15"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R13" i="5"/>
  <c r="J13" i="5"/>
  <c r="I13" i="5"/>
  <c r="F13" i="5"/>
  <c r="R7" i="5"/>
  <c r="F7" i="5"/>
  <c r="I7" i="5"/>
  <c r="J7" i="5"/>
  <c r="H17" i="5"/>
  <c r="I17" i="5"/>
  <c r="J17" i="5"/>
  <c r="R17" i="5"/>
  <c r="F17" i="5"/>
  <c r="G66" i="6"/>
  <c r="H66" i="6"/>
  <c r="C66" i="6"/>
  <c r="G67" i="6"/>
  <c r="H67" i="6"/>
  <c r="D67" i="6"/>
  <c r="G65" i="6"/>
  <c r="H65" i="6"/>
  <c r="C65" i="6"/>
  <c r="I12" i="5"/>
  <c r="J12" i="5"/>
  <c r="R12" i="5"/>
  <c r="F12" i="5"/>
  <c r="J9" i="5"/>
  <c r="I9" i="5"/>
  <c r="R9" i="5"/>
  <c r="F9" i="5"/>
  <c r="R8" i="5"/>
  <c r="J8" i="5"/>
  <c r="I8" i="5"/>
  <c r="F8" i="5"/>
  <c r="H15"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<sst xmlns="http://schemas.openxmlformats.org/spreadsheetml/2006/main" count="22215" uniqueCount="15697">
  <si>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</si>
  <si>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</si>
  <si>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</si>
  <si>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</si>
  <si>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</si>
  <si>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</si>
  <si>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</si>
  <si>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</si>
  <si>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</si>
  <si>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</si>
  <si>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</si>
  <si>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</si>
  <si>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</si>
  <si>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</si>
  <si>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</si>
  <si>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</si>
  <si>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</si>
  <si>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</si>
  <si>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</si>
  <si>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</si>
  <si>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</si>
  <si>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</si>
  <si>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</si>
  <si>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</si>
  <si>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</si>
  <si>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</si>
  <si>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</si>
  <si>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</si>
  <si>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</si>
  <si>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</si>
  <si>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</si>
  <si>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</si>
  <si>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</si>
  <si>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</si>
  <si>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</si>
  <si>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</si>
  <si>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</si>
  <si>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</si>
  <si>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</si>
  <si>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</si>
  <si>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</si>
  <si>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</si>
  <si>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</si>
  <si>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</si>
  <si>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</si>
  <si>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</si>
  <si>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</si>
  <si>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</si>
  <si>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</si>
  <si>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</si>
  <si>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</si>
  <si>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</si>
  <si>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</si>
  <si>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</si>
  <si>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</si>
  <si>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</si>
  <si>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</si>
  <si>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</si>
  <si>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</si>
  <si>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</si>
  <si>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</si>
  <si>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</si>
  <si>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</si>
  <si>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</si>
  <si>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</si>
  <si>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</si>
  <si>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</si>
  <si>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</si>
  <si>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</si>
  <si>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</si>
  <si>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</si>
  <si>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</si>
  <si>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</si>
  <si>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</si>
  <si>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</si>
  <si>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</si>
  <si>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</si>
  <si>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</si>
  <si>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</si>
  <si>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</si>
  <si>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</si>
  <si>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</si>
  <si>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</si>
  <si>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</si>
  <si>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</si>
  <si>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</si>
  <si>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</si>
  <si>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</si>
  <si>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</si>
  <si>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</si>
  <si>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</si>
  <si>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</si>
  <si>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</si>
  <si>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</si>
  <si>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</si>
  <si>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</si>
  <si>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</si>
  <si>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</si>
  <si>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</si>
  <si>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</si>
  <si>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</si>
  <si>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</si>
  <si>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</si>
  <si>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</si>
  <si>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</si>
  <si>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</si>
  <si>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</si>
  <si>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</si>
  <si>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</si>
  <si>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</si>
  <si>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</si>
  <si>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</si>
  <si>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</si>
  <si>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</si>
  <si>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</si>
  <si>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</si>
  <si>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</si>
  <si>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</si>
  <si>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</si>
  <si>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</si>
  <si>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</si>
  <si>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</si>
  <si>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</si>
  <si>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</si>
  <si>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</si>
  <si>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</si>
  <si>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</si>
  <si>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</si>
  <si>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</si>
  <si>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</si>
  <si>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</si>
  <si>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</si>
  <si>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</si>
  <si>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</si>
  <si>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</si>
  <si>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</si>
  <si>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</si>
  <si>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</si>
  <si>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</si>
  <si>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</si>
  <si>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</si>
  <si>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</si>
  <si>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</si>
  <si>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</si>
  <si>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</si>
  <si>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</si>
  <si>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</si>
  <si>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</si>
  <si>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</si>
  <si>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</si>
  <si>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</si>
  <si>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</si>
  <si>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</si>
  <si>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</si>
  <si>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</si>
  <si>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</si>
  <si>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</si>
  <si>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</si>
  <si>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</si>
  <si>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</si>
  <si>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</si>
  <si>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</si>
  <si>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</si>
  <si>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</si>
  <si>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</si>
  <si>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</si>
  <si>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</si>
  <si>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</si>
  <si>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</si>
  <si>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</si>
  <si>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</si>
  <si>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</si>
  <si>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</si>
  <si>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</si>
  <si>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</si>
  <si>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</si>
  <si>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</si>
  <si>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</si>
  <si>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</si>
  <si>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</si>
  <si>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</si>
  <si>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</si>
  <si>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</si>
  <si>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</si>
  <si>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</si>
  <si>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</si>
  <si>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</si>
  <si>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</si>
  <si>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</si>
  <si>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</si>
  <si>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</si>
  <si>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</si>
  <si>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</si>
  <si>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</si>
  <si>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</si>
  <si>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</si>
  <si>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</si>
  <si>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</si>
  <si>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</si>
  <si>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</si>
  <si>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</si>
  <si>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</si>
  <si>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</si>
  <si>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</si>
  <si>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</si>
  <si>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</si>
  <si>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</si>
  <si>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</si>
  <si>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</si>
  <si>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</si>
  <si>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</si>
  <si>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</si>
  <si>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</si>
  <si>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</si>
  <si>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</si>
  <si>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</si>
  <si>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</si>
  <si>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</si>
  <si>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</si>
  <si>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</si>
  <si>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</si>
  <si>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</si>
  <si>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</si>
  <si>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</si>
  <si>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</si>
  <si>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</si>
  <si>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</si>
  <si>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</si>
  <si>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</si>
  <si>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</si>
  <si>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</si>
  <si>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</si>
  <si>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</si>
  <si>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</si>
  <si>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</si>
  <si>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</si>
  <si>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</si>
  <si>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</si>
  <si>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</si>
  <si>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</si>
  <si>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</si>
  <si>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</si>
  <si>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</si>
  <si>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</si>
  <si>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</si>
  <si>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</si>
  <si>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</si>
  <si>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</si>
  <si>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</si>
  <si>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</si>
  <si>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</si>
  <si>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</si>
  <si>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</si>
  <si>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</si>
  <si>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</si>
  <si>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</si>
  <si>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</si>
  <si>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</si>
  <si>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</si>
  <si>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</si>
  <si>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</si>
  <si>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</si>
  <si>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</si>
  <si>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</si>
  <si>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</si>
  <si>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</si>
  <si>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</si>
  <si>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</si>
  <si>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</si>
  <si>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</si>
  <si>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</si>
  <si>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</si>
  <si>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</si>
  <si>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</si>
  <si>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</si>
  <si>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</si>
  <si>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</si>
  <si>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</si>
  <si>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</si>
  <si>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</si>
  <si>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</si>
  <si>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</si>
  <si>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</si>
  <si>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</si>
  <si>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</si>
  <si>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</si>
  <si>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</si>
  <si>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</si>
  <si>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</si>
  <si>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</si>
  <si>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</si>
  <si>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</si>
  <si>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</si>
  <si>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</si>
  <si>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</si>
  <si>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</si>
  <si>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</si>
  <si>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</si>
  <si>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</si>
  <si>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</si>
  <si>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</si>
  <si>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</si>
  <si>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</si>
  <si>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</si>
  <si>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</si>
  <si>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</si>
  <si>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</si>
  <si>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</si>
  <si>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</si>
  <si>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</si>
  <si>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</si>
  <si>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</si>
  <si>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</si>
  <si>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</si>
  <si>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</si>
  <si>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</si>
  <si>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</si>
  <si>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</si>
  <si>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</si>
  <si>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</si>
  <si>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</si>
  <si>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</si>
  <si>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</si>
  <si>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</si>
  <si>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</si>
  <si>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</si>
  <si>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</si>
  <si>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</si>
  <si>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</si>
  <si>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</si>
  <si>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</si>
  <si>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</si>
  <si>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</si>
  <si>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</si>
  <si>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</si>
  <si>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</si>
  <si>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</si>
  <si>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</si>
  <si>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</si>
  <si>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</si>
  <si>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</si>
  <si>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</si>
  <si>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</si>
  <si>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</si>
  <si>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</si>
  <si>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</si>
  <si>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</si>
  <si>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</si>
  <si>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</si>
  <si>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</si>
  <si>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</si>
  <si>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</si>
  <si>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</si>
  <si>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</si>
  <si>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</si>
  <si>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</si>
  <si>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</si>
  <si>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</si>
  <si>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</si>
  <si>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</si>
  <si>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</si>
  <si>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</si>
  <si>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</si>
  <si>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</si>
  <si>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</si>
  <si>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</si>
  <si>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</si>
  <si>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</si>
  <si>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</si>
  <si>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</si>
  <si>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</si>
  <si>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</si>
  <si>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</si>
  <si>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</si>
  <si>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</si>
  <si>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</si>
  <si>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</si>
  <si>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</si>
  <si>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</si>
  <si>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</si>
  <si>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</si>
  <si>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</si>
  <si>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</si>
  <si>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</si>
  <si>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</si>
  <si>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</si>
  <si>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</si>
  <si>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</si>
  <si>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</si>
  <si>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</si>
  <si>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</si>
  <si>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</si>
  <si>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</si>
  <si>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</si>
  <si>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</si>
  <si>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</si>
  <si>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</si>
  <si>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</si>
  <si>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</si>
  <si>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</si>
  <si>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</si>
  <si>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</si>
  <si>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</si>
  <si>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</si>
  <si>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</si>
  <si>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</si>
  <si>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</si>
  <si>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</si>
  <si>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</si>
  <si>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</si>
  <si>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</si>
  <si>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</si>
  <si>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</si>
  <si>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</si>
  <si>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</si>
  <si>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</si>
  <si>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</si>
  <si>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</si>
  <si>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</si>
  <si>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</si>
  <si>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</si>
  <si>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</si>
  <si>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</si>
  <si>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</si>
  <si>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</si>
  <si>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</si>
  <si>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</si>
  <si>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</si>
  <si>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</si>
  <si>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</si>
  <si>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</si>
  <si>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</si>
  <si>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</si>
  <si>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</si>
  <si>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</si>
  <si>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</si>
  <si>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</si>
  <si>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</si>
  <si>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</si>
  <si>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</si>
  <si>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</si>
  <si>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</si>
  <si>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</si>
  <si>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</si>
  <si>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</si>
  <si>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</si>
  <si>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</si>
  <si>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</si>
  <si>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</si>
  <si>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</si>
  <si>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</si>
  <si>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</si>
  <si>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</si>
  <si>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</si>
  <si>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</si>
  <si>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</si>
  <si>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</si>
  <si>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</si>
  <si>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</si>
  <si>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</si>
  <si>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</si>
  <si>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</si>
  <si>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</si>
  <si>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</si>
  <si>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</si>
  <si>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</si>
  <si>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</si>
  <si>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</si>
  <si>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</si>
  <si>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</si>
  <si>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</si>
  <si>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</si>
  <si>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</si>
  <si>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</si>
  <si>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</si>
  <si>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</si>
  <si>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</si>
  <si>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</si>
  <si>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</si>
  <si>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</si>
  <si>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</si>
  <si>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</si>
  <si>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</si>
  <si>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</si>
  <si>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</si>
  <si>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</si>
  <si>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</si>
  <si>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</si>
  <si>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</si>
  <si>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</si>
  <si>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</si>
  <si>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</si>
  <si>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</si>
  <si>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</si>
  <si>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</si>
  <si>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</si>
  <si>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</si>
  <si>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</si>
  <si>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</si>
  <si>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</si>
  <si>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</si>
  <si>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</si>
  <si>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</si>
  <si>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</si>
  <si>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</si>
  <si>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</si>
  <si>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</si>
  <si>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</si>
  <si>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</si>
  <si>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</si>
  <si>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</si>
  <si>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</si>
  <si>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</si>
  <si>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</si>
  <si>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</si>
  <si>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</si>
  <si>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</si>
  <si>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</si>
  <si>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</si>
  <si>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</si>
  <si>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</si>
  <si>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</si>
  <si>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</si>
  <si>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</si>
  <si>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</si>
  <si>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</si>
  <si>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</si>
  <si>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</si>
  <si>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</si>
  <si>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</si>
  <si>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</si>
  <si>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</si>
  <si>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</si>
  <si>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</si>
  <si>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</si>
  <si>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</si>
  <si>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</si>
  <si>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</si>
  <si>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</si>
  <si>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</si>
  <si>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</si>
  <si>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</si>
  <si>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</si>
  <si>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</si>
  <si>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</si>
  <si>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</si>
  <si>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</si>
  <si>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</si>
  <si>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</si>
  <si>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</si>
  <si>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</si>
  <si>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</si>
  <si>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</si>
  <si>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</si>
  <si>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</si>
  <si>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</si>
  <si>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</si>
  <si>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</si>
  <si>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</si>
  <si>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</si>
  <si>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</si>
  <si>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</si>
  <si>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</si>
  <si>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</si>
  <si>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</si>
  <si>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</si>
  <si>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</si>
  <si>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</si>
  <si>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</si>
  <si>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</si>
  <si>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</si>
  <si>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</si>
  <si>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</si>
  <si>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</si>
  <si>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</si>
  <si>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</si>
  <si>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</si>
  <si>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</si>
  <si>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</si>
  <si>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</si>
  <si>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</si>
  <si>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</si>
  <si>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</si>
  <si>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</si>
  <si>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</si>
  <si>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</si>
  <si>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</si>
  <si>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</si>
  <si>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</si>
  <si>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</si>
  <si>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</si>
  <si>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</si>
  <si>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</si>
  <si>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</si>
  <si>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</si>
  <si>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</si>
  <si>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</si>
  <si>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</si>
  <si>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</si>
  <si>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</si>
  <si>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</si>
  <si>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</si>
  <si>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</si>
  <si>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</si>
  <si>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</si>
  <si>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</si>
  <si>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</si>
  <si>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</si>
  <si>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</si>
  <si>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</si>
  <si>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</si>
  <si>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</si>
  <si>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</si>
  <si>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</si>
  <si>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</si>
  <si>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</si>
  <si>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</si>
  <si>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</si>
  <si>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</si>
  <si>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</si>
  <si>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</si>
  <si>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</si>
  <si>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</si>
  <si>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</si>
  <si>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</si>
  <si>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</si>
  <si>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</si>
  <si>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</si>
  <si>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</si>
  <si>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</si>
  <si>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</si>
  <si>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</si>
  <si>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</si>
  <si>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</si>
  <si>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</si>
  <si>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</si>
  <si>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</si>
  <si>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</si>
  <si>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</si>
  <si>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</si>
  <si>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</si>
  <si>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</si>
  <si>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</si>
  <si>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</si>
  <si>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</si>
  <si>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</si>
  <si>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</si>
  <si>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</si>
  <si>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</si>
  <si>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</si>
  <si>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</si>
  <si>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</si>
  <si>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</si>
  <si>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</si>
  <si>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</si>
  <si>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</si>
  <si>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</si>
  <si>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</si>
  <si>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</si>
  <si>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</si>
  <si>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</si>
  <si>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</si>
  <si>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</si>
  <si>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</si>
  <si>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</si>
  <si>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</si>
  <si>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</si>
  <si>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</si>
  <si>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</si>
  <si>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</si>
  <si>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</si>
  <si>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</si>
  <si>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</si>
  <si>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</si>
  <si>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</si>
  <si>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</si>
  <si>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</si>
  <si>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</si>
  <si>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</si>
  <si>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</si>
  <si>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</si>
  <si>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</si>
  <si>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</si>
  <si>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</si>
  <si>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</si>
  <si>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</si>
  <si>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</si>
  <si>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</si>
  <si>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</si>
  <si>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</si>
  <si>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</si>
  <si>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</si>
  <si>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</si>
  <si>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</si>
  <si>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</si>
  <si>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</si>
  <si>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</si>
  <si>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</si>
  <si>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</si>
  <si>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</si>
  <si>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</si>
  <si>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</si>
  <si>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</si>
  <si>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</si>
  <si>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</si>
  <si>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</si>
  <si>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</si>
  <si>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</si>
  <si>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</si>
  <si>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</si>
  <si>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</si>
  <si>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</si>
  <si>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</si>
  <si>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</si>
  <si>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</si>
  <si>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</si>
  <si>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</si>
  <si>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</si>
  <si>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</si>
  <si>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</si>
  <si>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</si>
  <si>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</si>
  <si>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</si>
  <si>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</si>
  <si>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</si>
  <si>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</si>
  <si>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</si>
  <si>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</si>
  <si>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</si>
  <si>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</si>
  <si>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</si>
  <si>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</si>
  <si>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</si>
  <si>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</si>
  <si>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</si>
  <si>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</si>
  <si>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</si>
  <si>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</si>
  <si>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</si>
  <si>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</si>
  <si>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</si>
  <si>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</si>
  <si>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</si>
  <si>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</si>
  <si>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</si>
  <si>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</si>
  <si>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</si>
  <si>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</si>
  <si>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</si>
  <si>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</si>
  <si>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</si>
  <si>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</si>
  <si>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</si>
  <si>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</si>
  <si>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</si>
  <si>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</si>
  <si>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</si>
  <si>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</si>
  <si>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</si>
  <si>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</si>
  <si>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</si>
  <si>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</si>
  <si>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</si>
  <si>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</si>
  <si>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</si>
  <si>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</si>
  <si>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</si>
  <si>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</si>
  <si>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</si>
  <si>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</si>
  <si>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</si>
  <si>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</si>
  <si>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</si>
  <si>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</si>
  <si>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</si>
  <si>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</si>
  <si>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</si>
  <si>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</si>
  <si>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</si>
  <si>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</si>
  <si>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</si>
  <si>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</si>
  <si>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</si>
  <si>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</si>
  <si>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</si>
  <si>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</si>
  <si>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</si>
  <si>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</si>
  <si>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</si>
  <si>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</si>
  <si>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</si>
  <si>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</si>
  <si>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</si>
  <si>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</si>
  <si>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</si>
  <si>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</si>
  <si>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</si>
  <si>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</si>
  <si>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</si>
  <si>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</si>
  <si>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</si>
  <si>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</si>
  <si>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</si>
  <si>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</si>
  <si>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</si>
  <si>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</si>
  <si>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</si>
  <si>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</si>
  <si>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</si>
  <si>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</si>
  <si>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</si>
  <si>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</si>
  <si>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</si>
  <si>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</si>
  <si>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</si>
  <si>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</si>
  <si>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</si>
  <si>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</si>
  <si>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</si>
  <si>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</si>
  <si>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</si>
  <si>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</si>
  <si>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</si>
  <si>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</si>
  <si>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</si>
  <si>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</si>
  <si>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</si>
  <si>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</si>
  <si>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</si>
  <si>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</si>
  <si>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</si>
  <si>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</si>
  <si>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</si>
  <si>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</si>
  <si>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</si>
  <si>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</si>
  <si>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</si>
  <si>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</si>
  <si>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</si>
  <si>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</si>
  <si>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</si>
  <si>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</si>
  <si>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</si>
  <si>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</si>
  <si>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</si>
  <si>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</si>
  <si>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</si>
  <si>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</si>
  <si>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</si>
  <si>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</si>
  <si>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</si>
  <si>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</si>
  <si>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</si>
  <si>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</si>
  <si>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</si>
  <si>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</si>
  <si>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</si>
  <si>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</si>
  <si>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</si>
  <si>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</si>
  <si>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</si>
  <si>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</si>
  <si>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</si>
  <si>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</si>
  <si>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</si>
  <si>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</si>
  <si>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</si>
  <si>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</si>
  <si>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</si>
  <si>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</si>
  <si>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</si>
  <si>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</si>
  <si>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</si>
  <si>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</si>
  <si>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</si>
  <si>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</si>
  <si>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</si>
  <si>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</si>
  <si>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</si>
  <si>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</si>
  <si>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</si>
  <si>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</si>
  <si>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</si>
  <si>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</si>
  <si>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</si>
  <si>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</si>
  <si>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</si>
  <si>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</si>
  <si>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</si>
  <si>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</si>
  <si>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</si>
  <si>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</si>
  <si>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</si>
  <si>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</si>
  <si>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</si>
  <si>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</si>
  <si>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</si>
  <si>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</si>
  <si>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</si>
  <si>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</si>
  <si>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</si>
  <si>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</si>
  <si>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</si>
  <si>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</si>
  <si>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</si>
  <si>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</si>
  <si>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</si>
  <si>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</si>
  <si>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</si>
  <si>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</si>
  <si>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</si>
  <si>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</si>
  <si>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</si>
  <si>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</si>
  <si>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</si>
  <si>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</si>
  <si>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</si>
  <si>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</si>
  <si>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</si>
  <si>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</si>
  <si>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</si>
  <si>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</si>
  <si>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</si>
  <si>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</si>
  <si>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</si>
  <si>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</si>
  <si>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</si>
  <si>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</si>
  <si>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</si>
  <si>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</si>
  <si>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</si>
  <si>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</si>
  <si>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</si>
  <si>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</si>
  <si>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</si>
  <si>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</si>
  <si>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</si>
  <si>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</si>
  <si>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</si>
  <si>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</si>
  <si>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</si>
  <si>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</si>
  <si>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</si>
  <si>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</si>
  <si>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</si>
  <si>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</si>
  <si>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</si>
  <si>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</si>
  <si>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</si>
  <si>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</si>
  <si>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</si>
  <si>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</si>
  <si>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</si>
  <si>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</si>
  <si>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</si>
  <si>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</si>
  <si>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</si>
  <si>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</si>
  <si>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</si>
  <si>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</si>
  <si>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</si>
  <si>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</si>
  <si>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</si>
  <si>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</si>
  <si>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</si>
  <si>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</si>
  <si>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</si>
  <si>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</si>
  <si>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</si>
  <si>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</si>
  <si>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</si>
  <si>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</si>
  <si>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</si>
  <si>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</si>
  <si>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</si>
  <si>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</si>
  <si>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</si>
  <si>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</si>
  <si>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</si>
  <si>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</si>
  <si>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</si>
  <si>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</si>
  <si>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</si>
  <si>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</si>
  <si>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</si>
  <si>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</si>
  <si>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</si>
  <si>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</si>
  <si>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</si>
  <si>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</si>
  <si>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</si>
  <si>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</si>
  <si>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</si>
  <si>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</si>
  <si>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</si>
  <si>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</si>
  <si>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</si>
  <si>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</si>
  <si>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</si>
  <si>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</si>
  <si>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</si>
  <si>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</si>
  <si>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</si>
  <si>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</si>
  <si>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</si>
  <si>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</si>
  <si>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</si>
  <si>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</si>
  <si>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</si>
  <si>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</si>
  <si>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</si>
  <si>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</si>
  <si>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</si>
  <si>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</si>
  <si>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</si>
  <si>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</si>
  <si>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</si>
  <si>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</si>
  <si>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</si>
  <si>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</si>
  <si>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</si>
  <si>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</si>
  <si>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</si>
  <si>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</si>
  <si>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</si>
  <si>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</si>
  <si>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</si>
  <si>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</si>
  <si>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</si>
  <si>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</si>
  <si>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</si>
  <si>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</si>
  <si>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</si>
  <si>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</si>
  <si>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</si>
  <si>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</si>
  <si>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</si>
  <si>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</si>
  <si>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</si>
  <si>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</si>
  <si>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</si>
  <si>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</si>
  <si>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</si>
  <si>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</si>
  <si>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</si>
  <si>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</si>
  <si>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</si>
  <si>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</si>
  <si>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</si>
  <si>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</si>
  <si>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</si>
  <si>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</si>
  <si>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</si>
  <si>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</si>
  <si>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</si>
  <si>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</si>
  <si>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</si>
  <si>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</si>
  <si>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</si>
  <si>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</si>
  <si>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</si>
  <si>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</si>
  <si>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</si>
  <si>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</si>
  <si>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</si>
  <si>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</si>
  <si>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</si>
  <si>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</si>
  <si>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</si>
  <si>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</si>
  <si>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</si>
  <si>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</si>
  <si>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</si>
  <si>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</si>
  <si>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</si>
  <si>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</si>
  <si>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</si>
  <si>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</si>
  <si>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</si>
  <si>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</si>
  <si>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</si>
  <si>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</si>
  <si>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</si>
  <si>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</si>
  <si>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</si>
  <si>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</si>
  <si>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</si>
  <si>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</si>
  <si>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</si>
  <si>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</si>
  <si>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</si>
  <si>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</si>
  <si>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</si>
  <si>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</si>
  <si>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</si>
  <si>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</si>
  <si>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</si>
  <si>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</si>
  <si>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</si>
  <si>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</si>
  <si>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</si>
  <si>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</si>
  <si>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</si>
  <si>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</si>
  <si>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</si>
  <si>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</si>
  <si>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</si>
  <si>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</si>
  <si>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</si>
  <si>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</si>
  <si>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</si>
  <si>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</si>
  <si>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</si>
  <si>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</si>
  <si>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</si>
  <si>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</si>
  <si>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</si>
  <si>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</si>
  <si>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</si>
  <si>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</si>
  <si>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</si>
  <si>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</si>
  <si>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</si>
  <si>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</si>
  <si>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</si>
  <si>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</si>
  <si>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</si>
  <si>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</si>
  <si>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</si>
  <si>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</si>
  <si>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</si>
  <si>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</si>
  <si>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</si>
  <si>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</si>
  <si>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</si>
  <si>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</si>
  <si>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</si>
  <si>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</si>
  <si>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</si>
  <si>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</si>
  <si>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</si>
  <si>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</si>
  <si>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</si>
  <si>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</si>
  <si>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</si>
  <si>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</si>
  <si>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</si>
  <si>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</si>
  <si>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</si>
  <si>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</si>
  <si>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</si>
  <si>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</si>
  <si>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</si>
  <si>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</si>
  <si>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</si>
  <si>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</si>
  <si>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</si>
  <si>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</si>
  <si>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</si>
  <si>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</si>
  <si>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</si>
  <si>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</si>
  <si>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</si>
  <si>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</si>
  <si>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</si>
  <si>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</si>
  <si>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</si>
  <si>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</si>
  <si>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</si>
  <si>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</si>
  <si>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</si>
  <si>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</si>
  <si>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</si>
  <si>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</si>
  <si>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</si>
  <si>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</si>
  <si>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</si>
  <si>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</si>
  <si>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</si>
  <si>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</si>
  <si>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</si>
  <si>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</si>
  <si>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</si>
  <si>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</si>
  <si>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</si>
  <si>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</si>
  <si>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</si>
  <si>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</si>
  <si>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</si>
  <si>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</si>
  <si>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</si>
  <si>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</si>
  <si>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</si>
  <si>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</si>
  <si>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</si>
  <si>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</si>
  <si>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</si>
  <si>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</si>
  <si>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</si>
  <si>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</si>
  <si>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</si>
  <si>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</si>
  <si>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</si>
  <si>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</si>
  <si>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</si>
  <si>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</si>
  <si>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</si>
  <si>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</si>
  <si>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</si>
  <si>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</si>
  <si>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</si>
  <si>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</si>
  <si>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</si>
  <si>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</si>
  <si>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</si>
  <si>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</si>
  <si>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</si>
  <si>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</si>
  <si>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</si>
  <si>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</si>
  <si>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</si>
  <si>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</si>
  <si>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</si>
  <si>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</si>
  <si>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</si>
  <si>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</si>
  <si>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</si>
  <si>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</si>
  <si>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</si>
  <si>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</si>
  <si>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</si>
  <si>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</si>
  <si>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</si>
  <si>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</si>
  <si>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</si>
  <si>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</si>
  <si>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</si>
  <si>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</si>
  <si>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</si>
  <si>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</si>
  <si>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</si>
  <si>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</si>
  <si>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</si>
  <si>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</si>
  <si>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</si>
  <si>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</si>
  <si>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</si>
  <si>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</si>
  <si>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</si>
  <si>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</si>
  <si>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</si>
  <si>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</si>
  <si>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</si>
  <si>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</si>
  <si>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</si>
  <si>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</si>
  <si>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</si>
  <si>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</si>
  <si>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</si>
  <si>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</si>
  <si>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</si>
  <si>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</si>
  <si>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</si>
  <si>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</si>
  <si>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</si>
  <si>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</si>
  <si>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</si>
  <si>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</si>
  <si>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</si>
  <si>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</si>
  <si>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</si>
  <si>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</si>
  <si>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</si>
  <si>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</si>
  <si>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</si>
  <si>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</si>
  <si>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</si>
  <si>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</si>
  <si>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</si>
  <si>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</si>
  <si>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</si>
  <si>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</si>
  <si>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</si>
  <si>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</si>
  <si>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</si>
  <si>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</si>
  <si>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</si>
  <si>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</si>
  <si>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</si>
  <si>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</si>
  <si>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</si>
  <si>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</si>
  <si>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</si>
  <si>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</si>
  <si>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</si>
  <si>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</si>
  <si>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</si>
  <si>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</si>
  <si>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</si>
  <si>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</si>
  <si>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</si>
  <si>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</si>
  <si>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</si>
  <si>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</si>
  <si>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</si>
  <si>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</si>
  <si>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</si>
  <si>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</si>
  <si>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</si>
  <si>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</si>
  <si>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</si>
  <si>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</si>
  <si>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</si>
  <si>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</si>
  <si>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</si>
  <si>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</si>
  <si>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</si>
  <si>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</si>
  <si>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</si>
  <si>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</si>
  <si>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</si>
  <si>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</si>
  <si>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</si>
  <si>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</si>
  <si>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</si>
  <si>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</si>
  <si>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</si>
  <si>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</si>
  <si>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</si>
  <si>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</si>
  <si>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</si>
  <si>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</si>
  <si>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</si>
  <si>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</si>
  <si>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</si>
  <si>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</si>
  <si>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</si>
  <si>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</si>
  <si>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</si>
  <si>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</si>
  <si>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</si>
  <si>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</si>
  <si>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</si>
  <si>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</si>
  <si>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</si>
  <si>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</si>
  <si>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</si>
  <si>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</si>
  <si>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</si>
  <si>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</si>
  <si>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</si>
  <si>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</si>
  <si>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</si>
  <si>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</si>
  <si>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</si>
  <si>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</si>
  <si>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</si>
  <si>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</si>
  <si>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</si>
  <si>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</si>
  <si>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</si>
  <si>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</si>
  <si>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</si>
  <si>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</si>
  <si>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</si>
  <si>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</si>
  <si>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</si>
  <si>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</si>
  <si>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</si>
  <si>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</si>
  <si>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</si>
  <si>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</si>
  <si>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</si>
  <si>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</si>
  <si>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</si>
  <si>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</si>
  <si>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</si>
  <si>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</si>
  <si>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</si>
  <si>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</si>
  <si>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</si>
  <si>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</si>
  <si>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</si>
  <si>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</si>
  <si>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</si>
  <si>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</si>
  <si>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</si>
  <si>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</si>
  <si>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</si>
  <si>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</si>
  <si>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</si>
  <si>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</si>
  <si>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</si>
  <si>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</si>
  <si>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</si>
  <si>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</si>
  <si>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</si>
  <si>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</si>
  <si>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</si>
  <si>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</si>
  <si>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</si>
  <si>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</si>
  <si>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</si>
  <si>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</si>
  <si>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</si>
  <si>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</si>
  <si>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</si>
  <si>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</si>
  <si>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</si>
  <si>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</si>
  <si>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</si>
  <si>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</si>
  <si>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</si>
  <si>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</si>
  <si>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</si>
  <si>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</si>
  <si>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</si>
  <si>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</si>
  <si>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</si>
  <si>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</si>
  <si>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</si>
  <si>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</si>
  <si>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</si>
  <si>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</si>
  <si>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</si>
  <si>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</si>
  <si>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</si>
  <si>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</si>
  <si>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</si>
  <si>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</si>
  <si>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</si>
  <si>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</si>
  <si>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</si>
  <si>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</si>
  <si>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</si>
  <si>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</si>
  <si>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</si>
  <si>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</si>
  <si>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</si>
  <si>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</si>
  <si>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</si>
  <si>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</si>
  <si>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</si>
  <si>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</si>
  <si>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</si>
  <si>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</si>
  <si>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</si>
  <si>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</si>
  <si>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</si>
  <si>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</si>
  <si>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</si>
  <si>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</si>
  <si>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</si>
  <si>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</si>
  <si>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</si>
  <si>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</si>
  <si>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</si>
  <si>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</si>
  <si>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</si>
  <si>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</si>
  <si>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</si>
  <si>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</si>
  <si>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</si>
  <si>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</si>
  <si>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</si>
  <si>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</si>
  <si>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</si>
  <si>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</si>
  <si>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</si>
  <si>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</si>
  <si>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</si>
  <si>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</si>
  <si>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</si>
  <si>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</si>
  <si>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</si>
  <si>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</si>
  <si>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</si>
  <si>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</si>
  <si>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</si>
  <si>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</si>
  <si>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</si>
  <si>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</si>
  <si>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</si>
  <si>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</si>
  <si>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</si>
  <si>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</si>
  <si>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</si>
  <si>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</si>
  <si>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</si>
  <si>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</si>
  <si>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</si>
  <si>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</si>
  <si>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</si>
  <si>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</si>
  <si>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</si>
  <si>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</si>
  <si>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</si>
  <si>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</si>
  <si>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</si>
  <si>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</si>
  <si>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</si>
  <si>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</si>
  <si>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</si>
  <si>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</si>
  <si>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</si>
  <si>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</si>
  <si>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</si>
  <si>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</si>
  <si>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</si>
  <si>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</si>
  <si>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</si>
  <si>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</si>
  <si>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</si>
  <si>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</si>
  <si>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</si>
  <si>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</si>
  <si>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</si>
  <si>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</si>
  <si>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</si>
  <si>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</si>
  <si>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</si>
  <si>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</si>
  <si>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</si>
  <si>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</si>
  <si>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</si>
  <si>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</si>
  <si>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</si>
  <si>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</si>
  <si>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</si>
  <si>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</si>
  <si>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</si>
  <si>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</si>
  <si>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</si>
  <si>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</si>
  <si>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</si>
  <si>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</si>
  <si>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</si>
  <si>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</si>
  <si>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</si>
  <si>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</si>
  <si>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</si>
  <si>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</si>
  <si>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</si>
  <si>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</si>
  <si>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</si>
  <si>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</si>
  <si>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</si>
  <si>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</si>
  <si>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</si>
  <si>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</si>
  <si>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</si>
  <si>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</si>
  <si>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</si>
  <si>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</si>
  <si>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</si>
  <si>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</si>
  <si>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</si>
  <si>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</si>
  <si>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</si>
  <si>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</si>
  <si>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</si>
  <si>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</si>
  <si>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</si>
  <si>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</si>
  <si>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</si>
  <si>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</si>
  <si>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</si>
  <si>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</si>
  <si>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</si>
  <si>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</si>
  <si>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</si>
  <si>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</si>
  <si>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</si>
  <si>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</si>
  <si>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</si>
  <si>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</si>
  <si>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</si>
  <si>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</si>
  <si>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</si>
  <si>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</si>
  <si>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</si>
  <si>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</si>
  <si>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</si>
  <si>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</si>
  <si>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</si>
  <si>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</si>
  <si>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</si>
  <si>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</si>
  <si>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</si>
  <si>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</si>
  <si>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</si>
  <si>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</si>
  <si>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</si>
  <si>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</si>
  <si>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</si>
  <si>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</si>
  <si>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</si>
  <si>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</si>
  <si>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</si>
  <si>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</si>
  <si>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</si>
  <si>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</si>
  <si>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</si>
  <si>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</si>
  <si>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</si>
  <si>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</si>
  <si>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</si>
  <si>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</si>
  <si>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</si>
  <si>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</si>
  <si>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</si>
  <si>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</si>
  <si>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</si>
  <si>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</si>
  <si>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</si>
  <si>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</si>
  <si>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</si>
  <si>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</si>
  <si>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</si>
  <si>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</si>
  <si>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</si>
  <si>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</si>
  <si>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</si>
  <si>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</si>
  <si>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</si>
  <si>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</si>
  <si>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</si>
  <si>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</si>
  <si>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</si>
  <si>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</si>
  <si>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</si>
  <si>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</si>
  <si>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</si>
  <si>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</si>
  <si>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</si>
  <si>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</si>
  <si>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</si>
  <si>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</si>
  <si>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</si>
  <si>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</si>
  <si>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</si>
  <si>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</si>
  <si>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</si>
  <si>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</si>
  <si>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</si>
  <si>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</si>
  <si>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</si>
  <si>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</si>
  <si>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</si>
  <si>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</si>
  <si>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</si>
  <si>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</si>
  <si>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</si>
  <si>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</si>
  <si>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</si>
  <si>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</si>
  <si>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</si>
  <si>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</si>
  <si>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</si>
  <si>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</si>
  <si>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</si>
  <si>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</si>
  <si>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</si>
  <si>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</si>
  <si>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</si>
  <si>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</si>
  <si>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</si>
  <si>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</si>
  <si>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</si>
  <si>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</si>
  <si>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</si>
  <si>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</si>
  <si>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</si>
  <si>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</si>
  <si>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</si>
  <si>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</si>
  <si>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</si>
  <si>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</si>
  <si>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</si>
  <si>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</si>
  <si>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</si>
  <si>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</si>
  <si>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</si>
  <si>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</si>
  <si>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</si>
  <si>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</si>
  <si>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</si>
  <si>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</si>
  <si>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</si>
  <si>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</si>
  <si>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</si>
  <si>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</si>
  <si>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</si>
  <si>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</si>
  <si>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</si>
  <si>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</si>
  <si>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</si>
  <si>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</si>
  <si>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</si>
  <si>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</si>
  <si>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</si>
  <si>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</si>
  <si>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</si>
  <si>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</si>
  <si>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</si>
  <si>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</si>
  <si>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</si>
  <si>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</si>
  <si>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</si>
  <si>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</si>
  <si>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</si>
  <si>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</si>
  <si>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</si>
  <si>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</si>
  <si>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</si>
  <si>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</si>
  <si>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</si>
  <si>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</si>
  <si>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</si>
  <si>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</si>
  <si>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</si>
  <si>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</si>
  <si>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</si>
  <si>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</si>
  <si>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</si>
  <si>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</si>
  <si>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</si>
  <si>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</si>
  <si>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</si>
  <si>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</si>
  <si>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</si>
  <si>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</si>
  <si>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</si>
  <si>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</si>
  <si>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</si>
  <si>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</si>
  <si>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</si>
  <si>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</si>
  <si>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</si>
  <si>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</si>
  <si>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</si>
  <si>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</si>
  <si>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</si>
  <si>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</si>
  <si>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</si>
  <si>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</si>
  <si>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</si>
  <si>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</si>
  <si>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</si>
  <si>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</si>
  <si>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</si>
  <si>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</si>
  <si>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</si>
  <si>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</si>
  <si>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</si>
  <si>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</si>
  <si>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</si>
  <si>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</si>
  <si>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</si>
  <si>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</si>
  <si>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</si>
  <si>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</si>
  <si>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</si>
  <si>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</si>
  <si>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</si>
  <si>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</si>
  <si>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</si>
  <si>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</si>
  <si>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</si>
  <si>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</si>
  <si>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</si>
  <si>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</si>
  <si>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</si>
  <si>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</si>
  <si>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</si>
  <si>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</si>
  <si>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</si>
  <si>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</si>
  <si>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</si>
  <si>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</si>
  <si>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</si>
  <si>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</si>
  <si>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</si>
  <si>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</si>
  <si>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</si>
  <si>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</si>
  <si>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</si>
  <si>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</si>
  <si>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</si>
  <si>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</si>
  <si>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</si>
  <si>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</si>
  <si>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</si>
  <si>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</si>
  <si>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</si>
  <si>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</si>
  <si>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</si>
  <si>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</si>
  <si>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</si>
  <si>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</si>
  <si>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</si>
  <si>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</si>
  <si>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</si>
  <si>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</si>
  <si>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</si>
  <si>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</si>
  <si>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</si>
  <si>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</si>
  <si>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</si>
  <si>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</si>
  <si>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</si>
  <si>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</si>
  <si>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</si>
  <si>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</si>
  <si>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</si>
  <si>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</si>
  <si>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</si>
  <si>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</si>
  <si>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</si>
  <si>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</si>
  <si>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</si>
  <si>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</si>
  <si>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</si>
  <si>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</si>
  <si>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</si>
  <si>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</si>
  <si>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</si>
  <si>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</si>
  <si>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</si>
  <si>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</si>
  <si>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</si>
  <si>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</si>
  <si>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</si>
  <si>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</si>
  <si>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</si>
  <si>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</si>
  <si>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</si>
  <si>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</si>
  <si>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</si>
  <si>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</si>
  <si>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</si>
  <si>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</si>
  <si>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</si>
  <si>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</si>
  <si>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</si>
  <si>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</si>
  <si>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</si>
  <si>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</si>
  <si>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</si>
  <si>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</si>
  <si>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</si>
  <si>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</si>
  <si>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</si>
  <si>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</si>
  <si>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</si>
  <si>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</si>
  <si>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</si>
  <si>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</si>
  <si>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</si>
  <si>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</si>
  <si>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</si>
  <si>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</si>
  <si>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</si>
  <si>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</si>
  <si>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</si>
  <si>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</si>
  <si>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</si>
  <si>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</si>
  <si>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</si>
  <si>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</si>
  <si>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</si>
  <si>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</si>
  <si>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</si>
  <si>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</si>
  <si>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</si>
  <si>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</si>
  <si>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</si>
  <si>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</si>
  <si>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</si>
  <si>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</si>
  <si>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</si>
  <si>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</si>
  <si>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</si>
  <si>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</si>
  <si>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</si>
  <si>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</si>
  <si>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</si>
  <si>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</si>
  <si>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</si>
  <si>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</si>
  <si>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</si>
  <si>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</si>
  <si>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</si>
  <si>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</si>
  <si>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</si>
  <si>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</si>
  <si>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</si>
  <si>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</si>
  <si>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</si>
  <si>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</si>
  <si>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</si>
  <si>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</si>
  <si>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</si>
  <si>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</si>
  <si>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</si>
  <si>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</si>
  <si>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</si>
  <si>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</si>
  <si>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</si>
  <si>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</si>
  <si>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</si>
  <si>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</si>
  <si>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</si>
  <si>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</si>
  <si>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</si>
  <si>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</si>
  <si>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</si>
  <si>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</si>
  <si>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</si>
  <si>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</si>
  <si>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</si>
  <si>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</si>
  <si>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</si>
  <si>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</si>
  <si>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</si>
  <si>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</si>
  <si>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</si>
  <si>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</si>
  <si>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</si>
  <si>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</si>
  <si>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</si>
  <si>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</si>
  <si>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</si>
  <si>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</si>
  <si>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</si>
  <si>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</si>
  <si>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</si>
  <si>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</si>
  <si>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</si>
  <si>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</si>
  <si>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</si>
  <si>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</si>
  <si>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</si>
  <si>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</si>
  <si>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</si>
  <si>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</si>
  <si>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</si>
  <si>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</si>
  <si>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</si>
  <si>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</si>
  <si>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</si>
  <si>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</si>
  <si>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</si>
  <si>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</si>
  <si>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</si>
  <si>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</si>
  <si>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</si>
  <si>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</si>
  <si>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</si>
  <si>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</si>
  <si>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</si>
  <si>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</si>
  <si>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</si>
  <si>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</si>
  <si>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</si>
  <si>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</si>
  <si>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</si>
  <si>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</si>
  <si>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</si>
  <si>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</si>
  <si>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</si>
  <si>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</si>
  <si>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</si>
  <si>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</si>
  <si>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</si>
  <si>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</si>
  <si>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</si>
  <si>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</si>
  <si>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</si>
  <si>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</si>
  <si>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</si>
  <si>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</si>
  <si>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</si>
  <si>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</si>
  <si>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</si>
  <si>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</si>
  <si>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</si>
  <si>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</si>
  <si>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</si>
  <si>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</si>
  <si>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</si>
  <si>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</si>
  <si>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</si>
  <si>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</si>
  <si>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</si>
  <si>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</si>
  <si>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</si>
  <si>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</si>
  <si>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</si>
  <si>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</si>
  <si>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</si>
  <si>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</si>
  <si>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</si>
  <si>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</si>
  <si>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</si>
  <si>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</si>
  <si>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</si>
  <si>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</si>
  <si>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</si>
  <si>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</si>
  <si>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</si>
  <si>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</si>
  <si>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</si>
  <si>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</si>
  <si>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</si>
  <si>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</si>
  <si>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</si>
  <si>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</si>
  <si>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</si>
  <si>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</si>
  <si>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</si>
  <si>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</si>
  <si>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</si>
  <si>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</si>
  <si>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</si>
  <si>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</si>
  <si>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</si>
  <si>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</si>
  <si>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</si>
  <si>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</si>
  <si>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</si>
  <si>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</si>
  <si>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</si>
  <si>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</si>
  <si>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</si>
  <si>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</si>
  <si>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</si>
  <si>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</si>
  <si>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</si>
  <si>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</si>
  <si>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</si>
  <si>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</si>
  <si>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</si>
  <si>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</si>
  <si>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</si>
  <si>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</si>
  <si>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</si>
  <si>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</si>
  <si>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</si>
  <si>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</si>
  <si>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</si>
  <si>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</si>
  <si>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</si>
  <si>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</si>
  <si>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</si>
  <si>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</si>
  <si>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</si>
  <si>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</si>
  <si>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</si>
  <si>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</si>
  <si>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</si>
  <si>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</si>
  <si>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</si>
  <si>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</si>
  <si>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</si>
  <si>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</si>
  <si>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</si>
  <si>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</si>
  <si>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</si>
  <si>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</si>
  <si>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</si>
  <si>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</si>
  <si>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</si>
  <si>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</si>
  <si>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</si>
  <si>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</si>
  <si>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</si>
  <si>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</si>
  <si>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</si>
  <si>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</si>
  <si>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</si>
  <si>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</si>
  <si>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</si>
  <si>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</si>
  <si>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</si>
  <si>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</si>
  <si>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</si>
  <si>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</si>
  <si>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</si>
  <si>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</si>
  <si>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</si>
  <si>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</si>
  <si>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</si>
  <si>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</si>
  <si>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</si>
  <si>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</si>
  <si>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</si>
  <si>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</si>
  <si>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</si>
  <si>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</si>
  <si>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</si>
  <si>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</si>
  <si>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</si>
  <si>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</si>
  <si>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</si>
  <si>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</si>
  <si>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</si>
  <si>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</si>
  <si>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</si>
  <si>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</si>
  <si>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</si>
  <si>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</si>
  <si>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</si>
  <si>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</si>
  <si>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</si>
  <si>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</si>
  <si>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</si>
  <si>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</si>
  <si>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</si>
  <si>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</si>
  <si>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</si>
  <si>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</si>
  <si>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</si>
  <si>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</si>
  <si>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</si>
  <si>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</si>
  <si>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</si>
  <si>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</si>
  <si>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</si>
  <si>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</si>
  <si>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</si>
  <si>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</si>
  <si>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</si>
  <si>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</si>
  <si>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</si>
  <si>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</si>
  <si>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</si>
  <si>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</si>
  <si>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</si>
  <si>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</si>
  <si>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</si>
  <si>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</si>
  <si>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</si>
  <si>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</si>
  <si>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</si>
  <si>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</si>
  <si>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</si>
  <si>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</si>
  <si>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</si>
  <si>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</si>
  <si>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</si>
  <si>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</si>
  <si>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</si>
  <si>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</si>
  <si>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</si>
  <si>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</si>
  <si>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</si>
  <si>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</si>
  <si>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</si>
  <si>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</si>
  <si>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</si>
  <si>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</si>
  <si>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</si>
  <si>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</si>
  <si>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</si>
  <si>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</si>
  <si>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</si>
  <si>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</si>
  <si>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</si>
  <si>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</si>
  <si>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</si>
  <si>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</si>
  <si>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</si>
  <si>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</si>
  <si>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</si>
  <si>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</si>
  <si>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</si>
  <si>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</si>
  <si>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</si>
  <si>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</si>
  <si>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</si>
  <si>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</si>
  <si>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</si>
  <si>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</si>
  <si>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</si>
  <si>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</si>
  <si>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</si>
  <si>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</si>
  <si>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</si>
  <si>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</si>
  <si>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</si>
  <si>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</si>
  <si>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</si>
  <si>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</si>
  <si>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</si>
  <si>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</si>
  <si>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</si>
  <si>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</si>
  <si>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</si>
  <si>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</si>
  <si>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</si>
  <si>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</si>
  <si>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</si>
  <si>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</si>
  <si>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</si>
  <si>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</si>
  <si>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</si>
  <si>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</si>
  <si>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</si>
  <si>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</si>
  <si>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</si>
  <si>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</si>
  <si>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</si>
  <si>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</si>
  <si>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</si>
  <si>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</si>
  <si>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</si>
  <si>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</si>
  <si>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</si>
  <si>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</si>
  <si>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</si>
  <si>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</si>
  <si>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</si>
  <si>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</si>
  <si>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</si>
  <si>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</si>
  <si>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</si>
  <si>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</si>
  <si>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</si>
  <si>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</si>
  <si>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</si>
  <si>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</si>
  <si>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</si>
  <si>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</si>
  <si>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</si>
  <si>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</si>
  <si>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</si>
  <si>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</si>
  <si>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</si>
  <si>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</si>
  <si>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</si>
  <si>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</si>
  <si>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</si>
  <si>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</si>
  <si>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</si>
  <si>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</si>
  <si>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</si>
  <si>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</si>
  <si>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</si>
  <si>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</si>
  <si>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</si>
  <si>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</si>
  <si>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</si>
  <si>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</si>
  <si>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</si>
  <si>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</si>
  <si>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</si>
  <si>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</si>
  <si>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</si>
  <si>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</si>
  <si>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</si>
  <si>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</si>
  <si>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</si>
  <si>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</si>
  <si>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</si>
  <si>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</si>
  <si>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</si>
  <si>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</si>
  <si>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</si>
  <si>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</si>
  <si>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</si>
  <si>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</si>
  <si>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</si>
  <si>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</si>
  <si>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</si>
  <si>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</si>
  <si>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</si>
  <si>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</si>
  <si>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</si>
  <si>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</si>
  <si>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</si>
  <si>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</si>
  <si>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</si>
  <si>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</si>
  <si>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</si>
  <si>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</si>
  <si>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</si>
  <si>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</si>
  <si>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</si>
  <si>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</si>
  <si>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</si>
  <si>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</si>
  <si>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</si>
  <si>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</si>
  <si>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</si>
  <si>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</si>
  <si>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</si>
  <si>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</si>
  <si>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</si>
  <si>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</si>
  <si>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</si>
  <si>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</si>
  <si>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</si>
  <si>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</si>
  <si>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</si>
  <si>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</si>
  <si>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</si>
  <si>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</si>
  <si>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</si>
  <si>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</si>
  <si>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</si>
  <si>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</si>
  <si>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</si>
  <si>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</si>
  <si>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</si>
  <si>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</si>
  <si>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</si>
  <si>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</si>
  <si>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</si>
  <si>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</si>
  <si>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</si>
  <si>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</si>
  <si>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</si>
  <si>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</si>
  <si>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</si>
  <si>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</si>
  <si>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</si>
  <si>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</si>
  <si>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</si>
  <si>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</si>
  <si>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</si>
  <si>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</si>
  <si>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</si>
  <si>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</si>
  <si>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</si>
  <si>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</si>
  <si>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</si>
  <si>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</si>
  <si>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</si>
  <si>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</si>
  <si>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</si>
  <si>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</si>
  <si>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</si>
  <si>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</si>
  <si>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</si>
  <si>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</si>
  <si>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</si>
  <si>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</si>
  <si>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</si>
  <si>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</si>
  <si>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</si>
  <si>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</si>
  <si>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</si>
  <si>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</si>
  <si>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</si>
  <si>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</si>
  <si>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</si>
  <si>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</si>
  <si>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</si>
  <si>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</si>
  <si>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</si>
  <si>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</si>
  <si>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</si>
  <si>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</si>
  <si>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</si>
  <si>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</si>
  <si>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</si>
  <si>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</si>
  <si>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</si>
  <si>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</si>
  <si>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</si>
  <si>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</si>
  <si>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</si>
  <si>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</si>
  <si>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</si>
  <si>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</si>
  <si>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</si>
  <si>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</si>
  <si>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</si>
  <si>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</si>
  <si>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</si>
  <si>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</si>
  <si>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</si>
  <si>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</si>
  <si>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</si>
  <si>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</si>
  <si>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</si>
  <si>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</si>
  <si>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</si>
  <si>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</si>
  <si>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</si>
  <si>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</si>
  <si>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</si>
  <si>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</si>
  <si>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</si>
  <si>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</si>
  <si>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</si>
  <si>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</si>
  <si>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</si>
  <si>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</si>
  <si>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</si>
  <si>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</si>
  <si>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</si>
  <si>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</si>
  <si>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</si>
  <si>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</si>
  <si>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</si>
  <si>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</si>
  <si>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</si>
  <si>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</si>
  <si>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</si>
  <si>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</si>
  <si>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</si>
  <si>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</si>
  <si>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</si>
  <si>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</si>
  <si>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</si>
  <si>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</si>
  <si>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</si>
  <si>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</si>
  <si>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</si>
  <si>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</si>
  <si>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</si>
  <si>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</si>
  <si>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</si>
  <si>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</si>
  <si>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</si>
  <si>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</si>
  <si>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</si>
  <si>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</si>
  <si>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</si>
  <si>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</si>
  <si>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</si>
  <si>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</si>
  <si>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</si>
  <si>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</si>
  <si>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</si>
  <si>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</si>
  <si>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</si>
  <si>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</si>
  <si>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</si>
  <si>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</si>
  <si>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</si>
  <si>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</si>
  <si>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</si>
  <si>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</si>
  <si>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</si>
  <si>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</si>
  <si>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</si>
  <si>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</si>
  <si>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</si>
  <si>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</si>
  <si>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</si>
  <si>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</si>
  <si>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</si>
  <si>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</si>
  <si>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</si>
  <si>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</si>
  <si>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</si>
  <si>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</si>
  <si>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</si>
  <si>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</si>
  <si>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</si>
  <si>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</si>
  <si>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</si>
  <si>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</si>
  <si>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</si>
  <si>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</si>
  <si>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</si>
  <si>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</si>
  <si>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</si>
  <si>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</si>
  <si>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</si>
  <si>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</si>
  <si>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</si>
  <si>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</si>
  <si>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</si>
  <si>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</si>
  <si>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</si>
  <si>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</si>
  <si>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</si>
  <si>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</si>
  <si>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</si>
  <si>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</si>
  <si>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</si>
  <si>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</si>
  <si>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</si>
  <si>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</si>
  <si>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</si>
  <si>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</si>
  <si>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</si>
  <si>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</si>
  <si>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</si>
  <si>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</si>
  <si>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</si>
  <si>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</si>
  <si>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</si>
  <si>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</si>
  <si>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</si>
  <si>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</si>
  <si>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</si>
  <si>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</si>
  <si>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</si>
  <si>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</si>
  <si>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</si>
  <si>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</si>
  <si>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</si>
  <si>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</si>
  <si>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</si>
  <si>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</si>
  <si>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</si>
  <si>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</si>
  <si>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</si>
  <si>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</si>
  <si>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</si>
  <si>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</si>
  <si>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</si>
  <si>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</si>
  <si>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</si>
  <si>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</si>
  <si>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</si>
  <si>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</si>
  <si>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</si>
  <si>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</si>
  <si>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</si>
  <si>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</si>
  <si>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</si>
  <si>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</si>
  <si>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</si>
  <si>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</si>
  <si>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</si>
  <si>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</si>
  <si>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</si>
  <si>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</si>
  <si>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</si>
  <si>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</si>
  <si>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</si>
  <si>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</si>
  <si>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</si>
  <si>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</si>
  <si>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</si>
  <si>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</si>
  <si>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</si>
  <si>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</si>
  <si>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</si>
  <si>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</si>
  <si>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</si>
  <si>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</si>
  <si>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</si>
  <si>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</si>
  <si>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</si>
  <si>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</si>
  <si>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</si>
  <si>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</si>
  <si>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</si>
  <si>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</si>
  <si>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</si>
  <si>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</si>
  <si>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</si>
  <si>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</si>
  <si>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</si>
  <si>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</si>
  <si>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</si>
  <si>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</si>
  <si>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</si>
  <si>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</si>
  <si>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</si>
  <si>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</si>
  <si>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</si>
  <si>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</si>
  <si>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</si>
  <si>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</si>
  <si>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</si>
  <si>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</si>
  <si>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</si>
  <si>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</si>
  <si>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</si>
  <si>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</si>
  <si>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</si>
  <si>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</si>
  <si>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</si>
  <si>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</si>
  <si>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</si>
  <si>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</si>
  <si>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</si>
  <si>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</si>
  <si>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</si>
  <si>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</si>
  <si>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</si>
  <si>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</si>
  <si>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</si>
  <si>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</si>
  <si>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</si>
  <si>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</si>
  <si>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</si>
  <si>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</si>
  <si>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</si>
  <si>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</si>
  <si>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</si>
  <si>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</si>
  <si>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</si>
  <si>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</si>
  <si>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</si>
  <si>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</si>
  <si>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</si>
  <si>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</si>
  <si>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</si>
  <si>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</si>
  <si>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</si>
  <si>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</si>
  <si>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</si>
  <si>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</si>
  <si>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</si>
  <si>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</si>
  <si>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</si>
  <si>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</si>
  <si>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</si>
  <si>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</si>
  <si>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</si>
  <si>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</si>
  <si>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</si>
  <si>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</si>
  <si>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</si>
  <si>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</si>
  <si>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</si>
  <si>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</si>
  <si>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</si>
  <si>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</si>
  <si>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</si>
  <si>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</si>
  <si>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</si>
  <si>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</si>
  <si>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</si>
  <si>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</si>
  <si>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</si>
  <si>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</si>
  <si>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</si>
  <si>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</si>
  <si>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</si>
  <si>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</si>
  <si>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</si>
  <si>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</si>
  <si>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</si>
  <si>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</si>
  <si>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</si>
  <si>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</si>
  <si>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</si>
  <si>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</si>
  <si>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</si>
  <si>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</si>
  <si>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</si>
  <si>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</si>
  <si>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</si>
  <si>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</si>
  <si>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</si>
  <si>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</si>
  <si>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</si>
  <si>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</si>
  <si>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</si>
  <si>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</si>
  <si>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</si>
  <si>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</si>
  <si>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</si>
  <si>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</si>
  <si>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</si>
  <si>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</si>
  <si>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</si>
  <si>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</si>
  <si>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</si>
  <si>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</si>
  <si>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</si>
  <si>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</si>
  <si>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</si>
  <si>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</si>
  <si>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</si>
  <si>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</si>
  <si>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</si>
  <si>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</si>
  <si>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</si>
  <si>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</si>
  <si>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</si>
  <si>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</si>
  <si>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</si>
  <si>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</si>
  <si>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</si>
  <si>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</si>
  <si>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</si>
  <si>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</si>
  <si>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</si>
  <si>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</si>
  <si>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</si>
  <si>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</si>
  <si>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</si>
  <si>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</si>
  <si>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</si>
  <si>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</si>
  <si>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</si>
  <si>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</si>
  <si>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</si>
  <si>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</si>
  <si>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</si>
  <si>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</si>
  <si>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</si>
  <si>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</si>
  <si>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</si>
  <si>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</si>
  <si>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</si>
  <si>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</si>
  <si>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</si>
  <si>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</si>
  <si>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</si>
  <si>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</si>
  <si>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</si>
  <si>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</si>
  <si>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</si>
  <si>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</si>
  <si>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</si>
  <si>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</si>
  <si>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</si>
  <si>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</si>
  <si>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</si>
  <si>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</si>
  <si>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</si>
  <si>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</si>
  <si>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</si>
  <si>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</si>
  <si>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</si>
  <si>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</si>
  <si>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</si>
  <si>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</si>
  <si>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</si>
  <si>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</si>
  <si>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</si>
  <si>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</si>
  <si>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</si>
  <si>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</si>
  <si>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</si>
  <si>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</si>
  <si>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</si>
  <si>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</si>
  <si>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</si>
  <si>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</si>
  <si>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</si>
  <si>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</si>
  <si>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</si>
  <si>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</si>
  <si>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</si>
  <si>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</si>
  <si>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</si>
  <si>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</si>
  <si>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</si>
  <si>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</si>
  <si>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</si>
  <si>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</si>
  <si>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</si>
  <si>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</si>
  <si>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</si>
  <si>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</si>
  <si>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</si>
  <si>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</si>
  <si>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</si>
  <si>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</si>
  <si>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</si>
  <si>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</si>
  <si>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</si>
  <si>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</si>
  <si>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</si>
  <si>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</si>
  <si>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</si>
  <si>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</si>
  <si>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</si>
  <si>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</si>
  <si>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</si>
  <si>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</si>
  <si>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</si>
  <si>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</si>
  <si>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</si>
  <si>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</si>
  <si>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</si>
  <si>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</si>
  <si>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</si>
  <si>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</si>
  <si>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</si>
  <si>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</si>
  <si>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</si>
  <si>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</si>
  <si>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</si>
  <si>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</si>
  <si>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</si>
  <si>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</si>
  <si>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</si>
  <si>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</si>
  <si>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</si>
  <si>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</si>
  <si>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</si>
  <si>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</si>
  <si>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</si>
  <si>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</si>
  <si>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</si>
  <si>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</si>
  <si>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</si>
  <si>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</si>
  <si>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</si>
  <si>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</si>
  <si>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</si>
  <si>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</si>
  <si>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</si>
  <si>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</si>
  <si>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</si>
  <si>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</si>
  <si>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</si>
  <si>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</si>
  <si>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</si>
  <si>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</si>
  <si>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</si>
  <si>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</si>
  <si>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</si>
  <si>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</si>
  <si>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</si>
  <si>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</si>
  <si>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</si>
  <si>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</si>
  <si>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</si>
  <si>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</si>
  <si>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</si>
  <si>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</si>
  <si>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</si>
  <si>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</si>
  <si>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</si>
  <si>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</si>
  <si>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</si>
  <si>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</si>
  <si>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</si>
  <si>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</si>
  <si>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</si>
  <si>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</si>
  <si>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</si>
  <si>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</si>
  <si>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</si>
  <si>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</si>
  <si>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</si>
  <si>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</si>
  <si>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</si>
  <si>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</si>
  <si>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</si>
  <si>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</si>
  <si>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</si>
  <si>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</si>
  <si>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</si>
  <si>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</si>
  <si>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</si>
  <si>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</si>
  <si>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</si>
  <si>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</si>
  <si>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</si>
  <si>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</si>
  <si>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</si>
  <si>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</si>
  <si>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</si>
  <si>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</si>
  <si>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</si>
  <si>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</si>
  <si>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</si>
  <si>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</si>
  <si>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</si>
  <si>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</si>
  <si>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</si>
  <si>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</si>
  <si>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</si>
  <si>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</si>
  <si>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</si>
  <si>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</si>
  <si>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</si>
  <si>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</si>
  <si>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</si>
  <si>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</si>
  <si>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</si>
  <si>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</si>
  <si>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</si>
  <si>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</si>
  <si>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</si>
  <si>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</si>
  <si>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</si>
  <si>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</si>
  <si>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</si>
  <si>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</si>
  <si>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</si>
  <si>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</si>
  <si>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</si>
  <si>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</si>
  <si>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</si>
  <si>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</si>
  <si>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</si>
  <si>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</si>
  <si>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</si>
  <si>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</si>
  <si>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</si>
  <si>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</si>
  <si>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</si>
  <si>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</si>
  <si>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</si>
  <si>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</si>
  <si>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</si>
  <si>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</si>
  <si>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</si>
  <si>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</si>
  <si>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</si>
  <si>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</si>
  <si>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</si>
  <si>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</si>
  <si>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</si>
  <si>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</si>
  <si>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</si>
  <si>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</si>
  <si>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</si>
  <si>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</si>
  <si>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</si>
  <si>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</si>
  <si>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</si>
  <si>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</si>
  <si>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</si>
  <si>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</si>
  <si>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</si>
  <si>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</si>
  <si>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</si>
  <si>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</si>
  <si>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</si>
  <si>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</si>
  <si>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</si>
  <si>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</si>
  <si>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</si>
  <si>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</si>
  <si>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</si>
  <si>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</si>
  <si>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</si>
  <si>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</si>
  <si>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</si>
  <si>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</si>
  <si>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</si>
  <si>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</si>
  <si>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</si>
  <si>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</si>
  <si>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</si>
  <si>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</si>
  <si>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</si>
  <si>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</si>
  <si>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</si>
  <si>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</si>
  <si>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</si>
  <si>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</si>
  <si>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</si>
  <si>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</si>
  <si>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</si>
  <si>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</si>
  <si>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</si>
  <si>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</si>
  <si>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</si>
  <si>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</si>
  <si>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</si>
  <si>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</si>
  <si>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</si>
  <si>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</si>
  <si>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</si>
  <si>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</si>
  <si>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</si>
  <si>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</si>
  <si>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</si>
  <si>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</si>
  <si>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</si>
  <si>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</si>
  <si>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</si>
  <si>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</si>
  <si>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</si>
  <si>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</si>
  <si>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</si>
  <si>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</si>
  <si>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</si>
  <si>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</si>
  <si>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</si>
  <si>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</si>
  <si>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</si>
  <si>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</si>
  <si>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</si>
  <si>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</si>
  <si>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</si>
  <si>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</si>
  <si>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</si>
  <si>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</si>
  <si>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</si>
  <si>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</si>
  <si>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</si>
  <si>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</si>
  <si>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</si>
  <si>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</si>
  <si>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</si>
  <si>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</si>
  <si>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</si>
  <si>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</si>
  <si>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</si>
  <si>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</si>
  <si>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</si>
  <si>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</si>
  <si>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</si>
  <si>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</si>
  <si>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</si>
  <si>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</si>
  <si>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</si>
  <si>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</si>
  <si>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</si>
  <si>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</si>
  <si>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</si>
  <si>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</si>
  <si>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</si>
  <si>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</si>
  <si>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</si>
  <si>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</si>
  <si>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</si>
  <si>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</si>
  <si>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</si>
  <si>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</si>
  <si>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</si>
  <si>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</si>
  <si>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</si>
  <si>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</si>
  <si>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</si>
  <si>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</si>
  <si>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</si>
  <si>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</si>
  <si>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</si>
  <si>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</si>
  <si>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</si>
  <si>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</si>
  <si>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</si>
  <si>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</si>
  <si>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</si>
  <si>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</si>
  <si>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</si>
  <si>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</si>
  <si>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</si>
  <si>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</si>
  <si>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</si>
  <si>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</si>
  <si>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</si>
  <si>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</si>
  <si>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</si>
  <si>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</si>
  <si>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</si>
  <si>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</si>
  <si>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</si>
  <si>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</si>
  <si>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</si>
  <si>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</si>
  <si>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</si>
  <si>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</si>
  <si>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</si>
  <si>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</si>
  <si>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</si>
  <si>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</si>
  <si>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</si>
  <si>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</si>
  <si>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</si>
  <si>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</si>
  <si>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</si>
  <si>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</si>
  <si>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</si>
  <si>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</si>
  <si>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</si>
  <si>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</si>
  <si>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</si>
  <si>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</si>
  <si>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</si>
  <si>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</si>
  <si>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</si>
  <si>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</si>
  <si>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</si>
  <si>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</si>
  <si>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</si>
  <si>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</si>
  <si>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</si>
  <si>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</si>
  <si>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</si>
  <si>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</si>
  <si>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</si>
  <si>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</si>
  <si>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</si>
  <si>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</si>
  <si>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</si>
  <si>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</si>
  <si>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</si>
  <si>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</si>
  <si>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</si>
  <si>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</si>
  <si>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</si>
  <si>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</si>
  <si>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</si>
  <si>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</si>
  <si>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</si>
  <si>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</si>
  <si>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</si>
  <si>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</si>
  <si>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</si>
  <si>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</si>
  <si>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</si>
  <si>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</si>
  <si>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</si>
  <si>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</si>
  <si>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</si>
  <si>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</si>
  <si>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</si>
  <si>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</si>
  <si>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</si>
  <si>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</si>
  <si>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</si>
  <si>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</si>
  <si>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</si>
  <si>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</si>
  <si>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</si>
  <si>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</si>
  <si>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</si>
  <si>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</si>
  <si>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</si>
  <si>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</si>
  <si>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</si>
  <si>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</si>
  <si>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</si>
  <si>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</si>
  <si>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</si>
  <si>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</si>
  <si>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</si>
  <si>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</si>
  <si>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</si>
  <si>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</si>
  <si>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</si>
  <si>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</si>
  <si>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</si>
  <si>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</si>
  <si>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</si>
  <si>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</si>
  <si>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</si>
  <si>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</si>
  <si>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</si>
  <si>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</si>
  <si>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</si>
  <si>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</si>
  <si>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</si>
  <si>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</si>
  <si>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</si>
  <si>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</si>
  <si>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</si>
  <si>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</si>
  <si>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</si>
  <si>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</si>
  <si>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</si>
  <si>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</si>
  <si>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</si>
  <si>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</si>
  <si>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</si>
  <si>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</si>
  <si>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</si>
  <si>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</si>
  <si>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</si>
  <si>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</si>
  <si>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</si>
  <si>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</si>
  <si>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</si>
  <si>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</si>
  <si>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</si>
  <si>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</si>
  <si>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</si>
  <si>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</si>
  <si>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</si>
  <si>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</si>
  <si>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</si>
  <si>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</si>
  <si>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</si>
  <si>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</si>
  <si>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</si>
  <si>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</si>
  <si>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</si>
  <si>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</si>
  <si>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</si>
  <si>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</si>
  <si>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</si>
  <si>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</si>
  <si>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</si>
  <si>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</si>
  <si>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</si>
  <si>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</si>
  <si>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</si>
  <si>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</si>
  <si>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</si>
  <si>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</si>
  <si>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</si>
  <si>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</si>
  <si>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</si>
  <si>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</si>
  <si>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</si>
  <si>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</si>
  <si>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</si>
  <si>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</si>
  <si>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</si>
  <si>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</si>
  <si>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</si>
  <si>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</si>
  <si>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</si>
  <si>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</si>
  <si>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</si>
  <si>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</si>
  <si>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</si>
  <si>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</si>
  <si>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</si>
  <si>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</si>
  <si>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</si>
  <si>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</si>
  <si>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</si>
  <si>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</si>
  <si>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</si>
  <si>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</si>
  <si>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</si>
  <si>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</si>
  <si>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</si>
  <si>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</si>
  <si>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</si>
  <si>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</si>
  <si>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</si>
  <si>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</si>
  <si>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</si>
  <si>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</si>
  <si>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</si>
  <si>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</si>
  <si>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</si>
  <si>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</si>
  <si>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</si>
  <si>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</si>
  <si>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</si>
  <si>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</si>
  <si>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</si>
  <si>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</si>
  <si>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</si>
  <si>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</si>
  <si>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</si>
  <si>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</si>
  <si>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</si>
  <si>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</si>
  <si>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</si>
  <si>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</si>
  <si>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</si>
  <si>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</si>
  <si>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</si>
  <si>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</si>
  <si>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</si>
  <si>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</si>
  <si>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</si>
  <si>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</si>
  <si>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</si>
  <si>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</si>
  <si>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</si>
  <si>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</si>
  <si>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</si>
  <si>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</si>
  <si>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</si>
  <si>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</si>
  <si>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</si>
  <si>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</si>
  <si>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</si>
  <si>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</si>
  <si>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</si>
  <si>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</si>
  <si>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</si>
  <si>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</si>
  <si>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</si>
  <si>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</si>
  <si>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</si>
  <si>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</si>
  <si>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</si>
  <si>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</si>
  <si>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</si>
  <si>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</si>
  <si>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</si>
  <si>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</si>
  <si>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</si>
  <si>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</si>
  <si>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</si>
  <si>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</si>
  <si>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</si>
  <si>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</si>
  <si>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</si>
  <si>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</si>
  <si>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</si>
  <si>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</si>
  <si>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</si>
  <si>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</si>
  <si>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</si>
  <si>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</si>
  <si>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</si>
  <si>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</si>
  <si>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</si>
  <si>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</si>
  <si>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</si>
  <si>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</si>
  <si>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</si>
  <si>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</si>
  <si>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</si>
  <si>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</si>
  <si>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</si>
  <si>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</si>
  <si>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</si>
  <si>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</si>
  <si>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</si>
  <si>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</si>
  <si>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</si>
  <si>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</si>
  <si>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</si>
  <si>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</si>
  <si>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</si>
  <si>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</si>
  <si>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</si>
  <si>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</si>
  <si>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</si>
  <si>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</si>
  <si>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</si>
  <si>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</si>
  <si>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</si>
  <si>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</si>
  <si>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</si>
  <si>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</si>
  <si>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</si>
  <si>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</si>
  <si>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</si>
  <si>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</si>
  <si>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</si>
  <si>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</si>
  <si>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</si>
  <si>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</si>
  <si>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</si>
  <si>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</si>
  <si>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</si>
  <si>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</si>
  <si>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</si>
  <si>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</si>
  <si>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</si>
  <si>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</si>
  <si>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</si>
  <si>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</si>
  <si>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</si>
  <si>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</si>
  <si>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</si>
  <si>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</si>
  <si>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</si>
  <si>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</si>
  <si>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</si>
  <si>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</si>
  <si>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</si>
  <si>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</si>
  <si>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</si>
  <si>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</si>
  <si>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</si>
  <si>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</si>
  <si>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</si>
  <si>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</si>
  <si>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</si>
  <si>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</si>
  <si>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</si>
  <si>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</si>
  <si>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</si>
  <si>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</si>
  <si>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</si>
  <si>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</si>
  <si>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</si>
  <si>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</si>
  <si>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</si>
  <si>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</si>
  <si>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</si>
  <si>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</si>
  <si>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</si>
  <si>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</si>
  <si>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</si>
  <si>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</si>
  <si>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</si>
  <si>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</si>
  <si>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</si>
  <si>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</si>
  <si>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</si>
  <si>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</si>
  <si>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</si>
  <si>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</si>
  <si>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</si>
  <si>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</si>
  <si>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</si>
  <si>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</si>
  <si>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</si>
  <si>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</si>
  <si>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</si>
  <si>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</si>
  <si>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</si>
  <si>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</si>
  <si>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</si>
  <si>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</si>
  <si>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</si>
  <si>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</si>
  <si>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</si>
  <si>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</si>
  <si>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</si>
  <si>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</si>
  <si>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</si>
  <si>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</si>
  <si>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</si>
  <si>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</si>
  <si>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</si>
  <si>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</si>
  <si>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</si>
  <si>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</si>
  <si>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</si>
  <si>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</si>
  <si>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</si>
  <si>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</si>
  <si>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</si>
  <si>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</si>
  <si>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</si>
  <si>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</si>
  <si>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</si>
  <si>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</si>
  <si>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</si>
  <si>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</si>
  <si>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</si>
  <si>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</si>
  <si>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</si>
  <si>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</si>
  <si>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</si>
  <si>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</si>
  <si>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</si>
  <si>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</si>
  <si>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</si>
  <si>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</si>
  <si>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</si>
  <si>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</si>
  <si>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</si>
  <si>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</si>
  <si>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</si>
  <si>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</si>
  <si>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</si>
  <si>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</si>
  <si>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</si>
  <si>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</si>
  <si>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</si>
  <si>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</si>
  <si>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</si>
  <si>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</si>
  <si>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</si>
  <si>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</si>
  <si>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</si>
  <si>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</si>
  <si>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</si>
  <si>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</si>
  <si>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</si>
  <si>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</si>
  <si>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</si>
  <si>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</si>
  <si>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</si>
  <si>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</si>
  <si>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</si>
  <si>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</si>
  <si>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</si>
  <si>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</si>
  <si>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</si>
  <si>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</si>
  <si>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</si>
  <si>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</si>
  <si>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</si>
  <si>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</si>
  <si>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</si>
  <si>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</si>
  <si>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</si>
  <si>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</si>
  <si>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</si>
  <si>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</si>
  <si>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</si>
  <si>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</si>
  <si>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</si>
  <si>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</si>
  <si>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</si>
  <si>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</si>
  <si>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</si>
  <si>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</si>
  <si>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</si>
  <si>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</si>
  <si>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</si>
  <si>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</si>
  <si>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</si>
  <si>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</si>
  <si>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</si>
  <si>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</si>
  <si>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</si>
  <si>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</si>
  <si>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</si>
  <si>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</si>
  <si>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</si>
  <si>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</si>
  <si>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</si>
  <si>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</si>
  <si>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</si>
  <si>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</si>
  <si>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</si>
  <si>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</si>
  <si>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</si>
  <si>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</si>
  <si>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</si>
  <si>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</si>
  <si>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</si>
  <si>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</si>
  <si>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</si>
  <si>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</si>
  <si>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</si>
  <si>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</si>
  <si>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</si>
  <si>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</si>
  <si>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</si>
  <si>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</si>
  <si>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</si>
  <si>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</si>
  <si>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</si>
  <si>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</si>
  <si>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</si>
  <si>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</si>
  <si>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</si>
  <si>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</si>
  <si>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</si>
  <si>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</si>
  <si>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</si>
  <si>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</si>
  <si>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</si>
  <si>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</si>
  <si>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</si>
  <si>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</si>
  <si>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</si>
  <si>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</si>
  <si>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</si>
  <si>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</si>
  <si>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</si>
  <si>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</si>
  <si>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</si>
  <si>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</si>
  <si>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</si>
  <si>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</si>
  <si>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</si>
  <si>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</si>
  <si>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</si>
  <si>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</si>
  <si>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</si>
  <si>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</si>
  <si>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</si>
  <si>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</si>
  <si>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</si>
  <si>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</si>
  <si>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</si>
  <si>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</si>
  <si>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</si>
  <si>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</si>
  <si>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</si>
  <si>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</si>
  <si>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</si>
  <si>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</si>
  <si>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</si>
  <si>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</si>
  <si>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</si>
  <si>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</si>
  <si>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</si>
  <si>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</si>
  <si>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</si>
  <si>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</si>
  <si>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</si>
  <si>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</si>
  <si>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</si>
  <si>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</si>
  <si>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</si>
  <si>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</si>
  <si>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</si>
  <si>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</si>
  <si>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</si>
  <si>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</si>
  <si>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</si>
  <si>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</si>
  <si>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</si>
  <si>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</si>
  <si>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</si>
  <si>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</si>
  <si>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</si>
  <si>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</si>
  <si>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</si>
  <si>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</si>
  <si>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</si>
  <si>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</si>
  <si>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</si>
  <si>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</si>
  <si>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</si>
  <si>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</si>
  <si>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</si>
  <si>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</si>
  <si>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</si>
  <si>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</si>
  <si>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</si>
  <si>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</si>
  <si>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</si>
  <si>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</si>
  <si>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</si>
  <si>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</si>
  <si>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</si>
  <si>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</si>
  <si>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</si>
  <si>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</si>
  <si>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</si>
  <si>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</si>
  <si>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</si>
  <si>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</si>
  <si>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</si>
  <si>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</si>
  <si>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</si>
  <si>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</si>
  <si>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</si>
  <si>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</si>
  <si>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</si>
  <si>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</si>
  <si>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</si>
  <si>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</si>
  <si>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</si>
  <si>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</si>
  <si>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</si>
  <si>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</si>
  <si>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</si>
  <si>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</si>
  <si>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</si>
  <si>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</si>
  <si>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</si>
  <si>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</si>
  <si>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</si>
  <si>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</si>
  <si>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</si>
  <si>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</si>
  <si>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</si>
  <si>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</si>
  <si>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</si>
  <si>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</si>
  <si>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</si>
  <si>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</si>
  <si>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</si>
  <si>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</si>
  <si>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</si>
  <si>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</si>
  <si>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</si>
  <si>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</si>
  <si>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</si>
  <si>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</si>
  <si>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</si>
  <si>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</si>
  <si>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</si>
  <si>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</si>
  <si>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</si>
  <si>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</si>
  <si>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</si>
  <si>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</si>
  <si>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</si>
  <si>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</si>
  <si>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</si>
  <si>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</si>
  <si>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</si>
  <si>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</si>
  <si>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</si>
  <si>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</si>
  <si>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</si>
  <si>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</si>
  <si>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</si>
  <si>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</si>
  <si>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</si>
  <si>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</si>
  <si>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</si>
  <si>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</si>
  <si>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</si>
  <si>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</si>
  <si>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</si>
  <si>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</si>
  <si>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</si>
  <si>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</si>
  <si>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</si>
  <si>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</si>
  <si>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</si>
  <si>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</si>
  <si>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</si>
  <si>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</si>
  <si>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</si>
  <si>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</si>
  <si>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</si>
  <si>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</si>
  <si>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</si>
  <si>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</si>
  <si>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</si>
  <si>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</si>
  <si>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</si>
  <si>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</si>
  <si>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</si>
  <si>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</si>
  <si>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</si>
  <si>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</si>
  <si>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</si>
  <si>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</si>
  <si>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</si>
  <si>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</si>
  <si>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</si>
  <si>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</si>
  <si>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</si>
  <si>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</si>
  <si>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</si>
  <si>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</si>
  <si>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</si>
  <si>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</si>
  <si>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</si>
  <si>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</si>
  <si>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</si>
  <si>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</si>
  <si>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</si>
  <si>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</si>
  <si>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</si>
  <si>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</si>
  <si>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</si>
  <si>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</si>
  <si>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</si>
  <si>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</si>
  <si>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</si>
  <si>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</si>
  <si>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</si>
  <si>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</si>
  <si>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</si>
  <si>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</si>
  <si>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</si>
  <si>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</si>
  <si>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</si>
  <si>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</si>
  <si>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</si>
  <si>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</si>
  <si>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</si>
  <si>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</si>
  <si>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</si>
  <si>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</si>
  <si>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</si>
  <si>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</si>
  <si>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</si>
  <si>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</si>
  <si>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</si>
  <si>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</si>
  <si>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</si>
  <si>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</si>
  <si>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</si>
  <si>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</si>
  <si>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</si>
  <si>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</si>
  <si>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</si>
  <si>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</si>
  <si>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</si>
  <si>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</si>
  <si>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</si>
  <si>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</si>
  <si>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</si>
  <si>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</si>
  <si>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</si>
  <si>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</si>
  <si>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</si>
  <si>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</si>
  <si>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</si>
  <si>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</si>
  <si>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</si>
  <si>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</si>
  <si>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</si>
  <si>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</si>
  <si>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</si>
  <si>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</si>
  <si>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</si>
  <si>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</si>
  <si>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</si>
  <si>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</si>
  <si>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</si>
  <si>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</si>
  <si>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</si>
  <si>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</si>
  <si>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</si>
  <si>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</si>
  <si>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</si>
  <si>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</si>
  <si>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</si>
  <si>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</si>
  <si>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</si>
  <si>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</si>
  <si>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</si>
  <si>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</si>
  <si>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</si>
  <si>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</si>
  <si>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</si>
  <si>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</si>
  <si>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</si>
  <si>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</si>
  <si>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</si>
  <si>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</si>
  <si>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</si>
  <si>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</si>
  <si>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</si>
  <si>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</si>
  <si>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</si>
  <si>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</si>
  <si>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</si>
  <si>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</si>
  <si>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</si>
  <si>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</si>
  <si>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</si>
  <si>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</si>
  <si>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</si>
  <si>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</si>
  <si>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</si>
  <si>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</si>
  <si>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</si>
  <si>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</si>
  <si>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</si>
  <si>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</si>
  <si>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</si>
  <si>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</si>
  <si>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</si>
  <si>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</si>
  <si>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</si>
  <si>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</si>
  <si>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</si>
  <si>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</si>
  <si>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</si>
  <si>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</si>
  <si>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</si>
  <si>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</si>
  <si>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</si>
  <si>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</si>
  <si>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</si>
  <si>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</si>
  <si>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</si>
  <si>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</si>
  <si>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</si>
  <si>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</si>
  <si>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</si>
  <si>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</si>
  <si>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</si>
  <si>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</si>
  <si>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</si>
  <si>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</si>
  <si>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</si>
  <si>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</si>
  <si>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</si>
  <si>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</si>
  <si>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</si>
  <si>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</si>
  <si>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</si>
  <si>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</si>
  <si>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</si>
  <si>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</si>
  <si>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</si>
  <si>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</si>
  <si>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</si>
  <si>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</si>
  <si>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</si>
  <si>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</si>
  <si>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</si>
  <si>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</si>
  <si>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</si>
  <si>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</si>
  <si>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</si>
  <si>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</si>
  <si>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</si>
  <si>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</si>
  <si>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</si>
  <si>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</si>
  <si>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</si>
  <si>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</si>
  <si>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</si>
  <si>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</si>
  <si>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</si>
  <si>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</si>
  <si>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</si>
  <si>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</si>
  <si>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</si>
  <si>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</si>
  <si>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</si>
  <si>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</si>
  <si>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</si>
  <si>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</si>
  <si>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</si>
  <si>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</si>
  <si>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</si>
  <si>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</si>
  <si>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</si>
  <si>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</si>
  <si>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</si>
  <si>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</si>
  <si>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</si>
  <si>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</si>
  <si>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</si>
  <si>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</si>
  <si>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</si>
  <si>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</si>
  <si>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</si>
  <si>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</si>
  <si>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</si>
  <si>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</si>
  <si>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</si>
  <si>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</si>
  <si>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</si>
  <si>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</si>
  <si>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</si>
  <si>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</si>
  <si>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</si>
  <si>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</si>
  <si>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</si>
  <si>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</si>
  <si>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</si>
  <si>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</si>
  <si>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</si>
  <si>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</si>
  <si>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</si>
  <si>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</si>
  <si>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</si>
  <si>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</si>
  <si>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</si>
  <si>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</si>
  <si>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</si>
  <si>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</si>
  <si>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</si>
  <si>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</si>
  <si>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</si>
  <si>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</si>
  <si>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</si>
  <si>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</si>
  <si>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</si>
  <si>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</si>
  <si>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</si>
  <si>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</si>
  <si>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</si>
  <si>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</si>
  <si>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</si>
  <si>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</si>
  <si>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</si>
  <si>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</si>
  <si>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</si>
  <si>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</si>
  <si>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</si>
  <si>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</si>
  <si>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</si>
  <si>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</si>
  <si>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</si>
  <si>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</si>
  <si>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</si>
  <si>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</si>
  <si>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</si>
  <si>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</si>
  <si>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</si>
  <si>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</si>
  <si>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</si>
  <si>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</si>
  <si>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</si>
  <si>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</si>
  <si>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</si>
  <si>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</si>
  <si>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</si>
  <si>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</si>
  <si>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</si>
  <si>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</si>
  <si>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</si>
  <si>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</si>
  <si>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</si>
  <si>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</si>
  <si>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</si>
  <si>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</si>
  <si>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</si>
  <si>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</si>
  <si>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</si>
  <si>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</si>
  <si>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</si>
  <si>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</si>
  <si>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</si>
  <si>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</si>
  <si>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</si>
  <si>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</si>
  <si>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</si>
  <si>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</si>
  <si>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</si>
  <si>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</si>
  <si>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</si>
  <si>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</si>
  <si>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</si>
  <si>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</si>
  <si>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</si>
  <si>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</si>
  <si>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</si>
  <si>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</si>
  <si>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</si>
  <si>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</si>
  <si>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</si>
  <si>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</si>
  <si>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</si>
  <si>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</si>
  <si>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</si>
  <si>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</si>
  <si>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</si>
  <si>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</si>
  <si>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</si>
  <si>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</si>
  <si>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</si>
  <si>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</si>
  <si>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</si>
  <si>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</si>
  <si>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</si>
  <si>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</si>
  <si>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</si>
  <si>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</si>
  <si>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</si>
  <si>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</si>
  <si>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</si>
  <si>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</si>
  <si>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</si>
  <si>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</si>
  <si>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</si>
  <si>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</si>
  <si>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</si>
  <si>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</si>
  <si>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</si>
  <si>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</si>
  <si>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</si>
  <si>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</si>
  <si>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</si>
  <si>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</si>
  <si>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</si>
  <si>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</si>
  <si>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</si>
  <si>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</si>
  <si>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</si>
  <si>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</si>
  <si>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</si>
  <si>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</si>
  <si>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</si>
  <si>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</si>
  <si>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</si>
  <si>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</si>
  <si>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</si>
  <si>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</si>
  <si>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</si>
  <si>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</si>
  <si>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</si>
  <si>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</si>
  <si>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</si>
  <si>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</si>
  <si>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</si>
  <si>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</si>
  <si>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</si>
  <si>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</si>
  <si>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</si>
  <si>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</si>
  <si>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</si>
  <si>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</si>
  <si>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</si>
  <si>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</si>
  <si>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</si>
  <si>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</si>
  <si>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</si>
  <si>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</si>
  <si>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</si>
  <si>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</si>
  <si>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</si>
  <si>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</si>
  <si>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</si>
  <si>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</si>
  <si>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</si>
  <si>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</si>
  <si>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</si>
  <si>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</si>
  <si>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</si>
  <si>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</si>
  <si>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</si>
  <si>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</si>
  <si>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</si>
  <si>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</si>
  <si>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</si>
  <si>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</si>
  <si>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</si>
  <si>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</si>
  <si>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</si>
  <si>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</si>
  <si>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</si>
  <si>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</si>
  <si>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</si>
  <si>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</si>
  <si>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</si>
  <si>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</si>
  <si>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</si>
  <si>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</si>
  <si>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</si>
  <si>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</si>
  <si>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</si>
  <si>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</si>
  <si>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</si>
  <si>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</si>
  <si>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</si>
  <si>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</si>
  <si>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</si>
  <si>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</si>
  <si>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</si>
  <si>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</si>
  <si>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</si>
  <si>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</si>
  <si>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</si>
  <si>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</si>
  <si>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</si>
  <si>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</si>
  <si>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</si>
  <si>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</si>
  <si>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</si>
  <si>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</si>
  <si>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</si>
  <si>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</si>
  <si>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</si>
  <si>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</si>
  <si>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</si>
  <si>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</si>
  <si>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</si>
  <si>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</si>
  <si>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</si>
  <si>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</si>
  <si>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</si>
  <si>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</si>
  <si>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</si>
  <si>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</si>
  <si>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</si>
  <si>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</si>
  <si>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</si>
  <si>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</si>
  <si>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</si>
  <si>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</si>
  <si>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</si>
  <si>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</si>
  <si>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</si>
  <si>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</si>
  <si>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</si>
  <si>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</si>
  <si>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</si>
  <si>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</si>
  <si>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</si>
  <si>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</si>
  <si>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</si>
  <si>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</si>
  <si>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</si>
  <si>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</si>
  <si>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</si>
  <si>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</si>
  <si>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</si>
  <si>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</si>
  <si>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</si>
  <si>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</si>
  <si>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</si>
  <si>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</si>
  <si>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</si>
  <si>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</si>
  <si>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</si>
  <si>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</si>
  <si>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</si>
  <si>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</si>
  <si>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</si>
  <si>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</si>
  <si>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</si>
  <si>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</si>
  <si>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</si>
  <si>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</si>
  <si>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</si>
  <si>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</si>
  <si>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</si>
  <si>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</si>
  <si>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</si>
  <si>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</si>
  <si>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</si>
  <si>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</si>
  <si>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</si>
  <si>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</si>
  <si>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</si>
  <si>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</si>
  <si>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</si>
  <si>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</si>
  <si>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</si>
  <si>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</si>
  <si>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</si>
  <si>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</si>
  <si>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</si>
  <si>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</si>
  <si>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</si>
  <si>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</si>
  <si>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</si>
  <si>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</si>
  <si>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</si>
  <si>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</si>
  <si>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</si>
  <si>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</si>
  <si>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</si>
  <si>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</si>
  <si>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</si>
  <si>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</si>
  <si>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</si>
  <si>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</si>
  <si>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</si>
  <si>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</si>
  <si>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</si>
  <si>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</si>
  <si>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</si>
  <si>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</si>
  <si>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</si>
  <si>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</si>
  <si>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</si>
  <si>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</si>
  <si>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</si>
  <si>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</si>
  <si>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</si>
  <si>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</si>
  <si>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</si>
  <si>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</si>
  <si>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</si>
  <si>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</si>
  <si>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</si>
  <si>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</si>
  <si>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</si>
  <si>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</si>
  <si>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</si>
  <si>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</si>
  <si>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</si>
  <si>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</si>
  <si>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</si>
  <si>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</si>
  <si>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</si>
  <si>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</si>
  <si>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</si>
  <si>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</si>
  <si>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</si>
  <si>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</si>
  <si>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</si>
  <si>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</si>
  <si>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</si>
  <si>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</si>
  <si>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</si>
  <si>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</si>
  <si>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</si>
  <si>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</si>
  <si>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</si>
  <si>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</si>
  <si>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</si>
  <si>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</si>
  <si>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</si>
  <si>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</si>
  <si>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</si>
  <si>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</si>
  <si>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</si>
  <si>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</si>
  <si>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</si>
  <si>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</si>
  <si>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</si>
  <si>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</si>
  <si>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</si>
  <si>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</si>
  <si>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</si>
  <si>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</si>
  <si>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</si>
  <si>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</si>
  <si>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</si>
  <si>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</si>
  <si>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</si>
  <si>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</si>
  <si>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</si>
  <si>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</si>
  <si>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</si>
  <si>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</si>
  <si>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</si>
  <si>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</si>
  <si>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</si>
  <si>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</si>
  <si>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</si>
  <si>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</si>
  <si>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</si>
  <si>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</si>
  <si>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</si>
  <si>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</si>
  <si>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</si>
  <si>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</si>
  <si>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</si>
  <si>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</si>
  <si>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</si>
  <si>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</si>
  <si>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</si>
  <si>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</si>
  <si>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</si>
  <si>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</si>
  <si>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</si>
  <si>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</si>
  <si>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</si>
  <si>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</si>
  <si>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</si>
  <si>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</si>
  <si>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</si>
  <si>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</si>
  <si>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</si>
  <si>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</si>
  <si>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</si>
  <si>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</si>
  <si>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</si>
  <si>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</si>
  <si>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</si>
  <si>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</si>
  <si>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</si>
  <si>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</si>
  <si>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</si>
  <si>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</si>
  <si>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</si>
  <si>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</si>
  <si>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</si>
  <si>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</si>
  <si>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</si>
  <si>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</si>
  <si>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</si>
  <si>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</si>
  <si>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</si>
  <si>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</si>
  <si>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</si>
  <si>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</si>
  <si>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</si>
  <si>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</si>
  <si>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</si>
  <si>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</si>
  <si>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</si>
  <si>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</si>
  <si>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</si>
  <si>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</si>
  <si>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</si>
  <si>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</si>
  <si>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</si>
  <si>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</si>
  <si>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</si>
  <si>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</si>
  <si>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</si>
  <si>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</si>
  <si>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</si>
  <si>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</si>
  <si>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</si>
  <si>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</si>
  <si>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</si>
  <si>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</si>
  <si>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</si>
  <si>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</si>
  <si>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</si>
  <si>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</si>
  <si>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</si>
  <si>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</si>
  <si>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</si>
  <si>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</si>
  <si>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</si>
  <si>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</si>
  <si>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</si>
  <si>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</si>
  <si>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</si>
  <si>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</si>
  <si>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</si>
  <si>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</si>
  <si>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</si>
  <si>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</si>
  <si>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</si>
  <si>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</si>
  <si>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</si>
  <si>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</si>
  <si>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</si>
  <si>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</si>
  <si>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</si>
  <si>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</si>
  <si>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</si>
  <si>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</si>
  <si>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</si>
  <si>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</si>
  <si>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</si>
  <si>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</si>
  <si>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</si>
  <si>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</si>
  <si>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</si>
  <si>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</si>
  <si>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</si>
  <si>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</si>
  <si>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</si>
  <si>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</si>
  <si>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</si>
  <si>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</si>
  <si>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</si>
  <si>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</si>
  <si>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</si>
  <si>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</si>
  <si>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</si>
  <si>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</si>
  <si>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</si>
  <si>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</si>
  <si>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</si>
  <si>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</si>
  <si>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</si>
  <si>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</si>
  <si>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</si>
  <si>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</si>
  <si>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</si>
  <si>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</si>
  <si>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</si>
  <si>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</si>
  <si>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</si>
  <si>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</si>
  <si>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</si>
  <si>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</si>
  <si>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</si>
  <si>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</si>
  <si>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</si>
  <si>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</si>
  <si>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</si>
  <si>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</si>
  <si>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</si>
  <si>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</si>
  <si>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</si>
  <si>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</si>
  <si>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</si>
  <si>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</si>
  <si>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</si>
  <si>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</si>
  <si>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</si>
  <si>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</si>
  <si>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</si>
  <si>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</si>
  <si>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</si>
  <si>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</si>
  <si>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</si>
  <si>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</si>
  <si>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</si>
  <si>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</si>
  <si>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</si>
  <si>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</si>
  <si>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</si>
  <si>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</si>
  <si>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</si>
  <si>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</si>
  <si>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</si>
  <si>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</si>
  <si>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</si>
  <si>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</si>
  <si>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</si>
  <si>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</si>
  <si>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</si>
  <si>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</si>
  <si>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</si>
  <si>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</si>
  <si>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</si>
  <si>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</si>
  <si>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</si>
  <si>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</si>
  <si>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</si>
  <si>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</si>
  <si>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</si>
  <si>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</si>
  <si>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</si>
  <si>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</si>
  <si>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</si>
  <si>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</si>
  <si>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</si>
  <si>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</si>
  <si>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</si>
  <si>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</si>
  <si>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</si>
  <si>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</si>
  <si>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</si>
  <si>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</si>
  <si>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</si>
  <si>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</si>
  <si>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</si>
  <si>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</si>
  <si>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</si>
  <si>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</si>
  <si>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</si>
  <si>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</si>
  <si>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</si>
  <si>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</si>
  <si>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</si>
  <si>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</si>
  <si>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</si>
  <si>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</si>
  <si>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</si>
  <si>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</si>
  <si>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</si>
  <si>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</si>
  <si>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</si>
  <si>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</si>
  <si>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</si>
  <si>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</si>
  <si>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</si>
  <si>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</si>
  <si>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</si>
  <si>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</si>
  <si>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</si>
  <si>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</si>
  <si>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</si>
  <si>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</si>
  <si>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</si>
  <si>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</si>
  <si>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</si>
  <si>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</si>
  <si>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</si>
  <si>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</si>
  <si>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</si>
  <si>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</si>
  <si>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</si>
  <si>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</si>
  <si>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</si>
  <si>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</si>
  <si>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</si>
  <si>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</si>
  <si>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</si>
  <si>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</si>
  <si>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</si>
  <si>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</si>
  <si>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</si>
  <si>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</si>
  <si>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</si>
  <si>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</si>
  <si>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</si>
  <si>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</si>
  <si>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</si>
  <si>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</si>
  <si>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</si>
  <si>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</si>
  <si>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</si>
  <si>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</si>
  <si>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</si>
  <si>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</si>
  <si>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</si>
  <si>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</si>
  <si>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</si>
  <si>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</si>
  <si>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</si>
  <si>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</si>
  <si>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</si>
  <si>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</si>
  <si>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</si>
  <si>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</si>
  <si>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</si>
  <si>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</si>
  <si>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</si>
  <si>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</si>
  <si>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</si>
  <si>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</si>
  <si>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</si>
  <si>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</si>
  <si>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</si>
  <si>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</si>
  <si>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</si>
  <si>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</si>
  <si>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</si>
  <si>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</si>
  <si>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</si>
  <si>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</si>
  <si>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</si>
  <si>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</si>
  <si>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</si>
  <si>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</si>
  <si>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</si>
  <si>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</si>
  <si>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</si>
  <si>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</si>
  <si>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</si>
  <si>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</si>
  <si>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</si>
  <si>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</si>
  <si>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</si>
  <si>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</si>
  <si>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</si>
  <si>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</si>
  <si>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</si>
  <si>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</si>
  <si>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</si>
  <si>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</si>
  <si>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</si>
  <si>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</si>
  <si>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</si>
  <si>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</si>
  <si>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</si>
  <si>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</si>
  <si>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</si>
  <si>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</si>
  <si>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</si>
  <si>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</si>
  <si>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</si>
  <si>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</si>
  <si>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</si>
  <si>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</si>
  <si>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</si>
  <si>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</si>
  <si>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</si>
  <si>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</si>
  <si>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</si>
  <si>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</si>
  <si>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</si>
  <si>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</si>
  <si>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</si>
  <si>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</si>
  <si>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</si>
  <si>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</si>
  <si>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</si>
  <si>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</si>
  <si>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</si>
  <si>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</si>
  <si>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</si>
  <si>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</si>
  <si>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</si>
  <si>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</si>
  <si>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</si>
  <si>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</si>
  <si>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</si>
  <si>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</si>
  <si>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</si>
  <si>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</si>
  <si>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</si>
  <si>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</si>
  <si>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</si>
  <si>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</si>
  <si>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</si>
  <si>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</si>
  <si>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</si>
  <si>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</si>
  <si>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</si>
  <si>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</si>
  <si>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</si>
  <si>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</si>
  <si>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</si>
  <si>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</si>
  <si>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</si>
  <si>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</si>
  <si>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</si>
  <si>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</si>
  <si>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</si>
  <si>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</si>
  <si>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</si>
  <si>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</si>
  <si>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</si>
  <si>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</si>
  <si>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</si>
  <si>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</si>
  <si>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</si>
  <si>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</si>
  <si>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</si>
  <si>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</si>
  <si>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</si>
  <si>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</si>
  <si>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</si>
  <si>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</si>
  <si>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</si>
  <si>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</si>
  <si>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</si>
  <si>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</si>
  <si>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</si>
  <si>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</si>
  <si>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</si>
  <si>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</si>
  <si>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</si>
  <si>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</si>
  <si>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</si>
  <si>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</si>
  <si>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</si>
  <si>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</si>
  <si>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</si>
  <si>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</si>
  <si>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</si>
  <si>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</si>
  <si>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</si>
  <si>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</si>
  <si>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</si>
  <si>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</si>
  <si>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</si>
  <si>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</si>
  <si>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</si>
  <si>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</si>
  <si>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</si>
  <si>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</si>
  <si>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</si>
  <si>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</si>
  <si>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</si>
  <si>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</si>
  <si>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</si>
  <si>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</si>
  <si>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</si>
  <si>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</si>
  <si>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</si>
  <si>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</si>
  <si>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</si>
  <si>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</si>
  <si>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</si>
  <si>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</si>
  <si>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</si>
  <si>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</si>
  <si>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</si>
  <si>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</si>
  <si>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</si>
  <si>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</si>
  <si>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</si>
  <si>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</si>
  <si>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</si>
  <si>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</si>
  <si>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</si>
  <si>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</si>
  <si>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</si>
  <si>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</si>
  <si>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</si>
  <si>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</si>
  <si>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</si>
  <si>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</si>
  <si>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</si>
  <si>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</si>
  <si>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</si>
  <si>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</si>
  <si>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</si>
  <si>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</si>
  <si>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</si>
  <si>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</si>
  <si>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</si>
  <si>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</si>
  <si>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</si>
  <si>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</si>
  <si>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</si>
  <si>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</si>
  <si>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</si>
  <si>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</si>
  <si>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</si>
  <si>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</si>
  <si>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</si>
  <si>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</si>
  <si>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</si>
  <si>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</si>
  <si>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</si>
  <si>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</si>
  <si>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</si>
  <si>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</si>
  <si>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</si>
  <si>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</si>
  <si>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</si>
  <si>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</si>
  <si>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</si>
  <si>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</si>
  <si>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</si>
  <si>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</si>
  <si>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</si>
  <si>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</si>
  <si>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</si>
  <si>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</si>
  <si>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</si>
  <si>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</si>
  <si>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</si>
  <si>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</si>
  <si>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</si>
  <si>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</si>
  <si>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</si>
  <si>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</si>
  <si>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</si>
  <si>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</si>
  <si>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</si>
  <si>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</si>
  <si>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</si>
  <si>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</si>
  <si>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</si>
  <si>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</si>
  <si>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</si>
  <si>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</si>
  <si>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</si>
  <si>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</si>
  <si>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</si>
  <si>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</si>
  <si>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</si>
  <si>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</si>
  <si>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</si>
  <si>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</si>
  <si>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</si>
  <si>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</si>
  <si>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</si>
  <si>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</si>
  <si>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</si>
  <si>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</si>
  <si>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</si>
  <si>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</si>
  <si>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</si>
  <si>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</si>
  <si>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</si>
  <si>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</si>
  <si>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</si>
  <si>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</si>
  <si>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</si>
  <si>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</si>
  <si>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</si>
  <si>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</si>
  <si>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</si>
  <si>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</si>
  <si>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</si>
  <si>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</si>
  <si>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</si>
  <si>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</si>
  <si>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</si>
  <si>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</si>
  <si>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</si>
  <si>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</si>
  <si>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</si>
  <si>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</si>
  <si>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</si>
  <si>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</si>
  <si>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</si>
  <si>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</si>
  <si>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</si>
  <si>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</si>
  <si>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</si>
  <si>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</si>
  <si>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</si>
  <si>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</si>
  <si>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</si>
  <si>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</si>
  <si>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</si>
  <si>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</si>
  <si>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</si>
  <si>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</si>
  <si>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</si>
  <si>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</si>
  <si>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</si>
  <si>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</si>
  <si>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</si>
  <si>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</si>
  <si>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</si>
  <si>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</si>
  <si>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</si>
  <si>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</si>
  <si>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</si>
  <si>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</si>
  <si>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</si>
  <si>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</si>
  <si>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</si>
  <si>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</si>
  <si>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</si>
  <si>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</si>
  <si>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</si>
  <si>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</si>
  <si>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</si>
  <si>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</si>
  <si>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</si>
  <si>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</si>
  <si>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</si>
  <si>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</si>
  <si>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</si>
  <si>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</si>
  <si>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</si>
  <si>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</si>
  <si>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</si>
  <si>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</si>
  <si>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</si>
  <si>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</si>
  <si>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</si>
  <si>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</si>
  <si>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</si>
  <si>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</si>
  <si>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</si>
  <si>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</si>
  <si>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</si>
  <si>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</si>
  <si>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</si>
  <si>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</si>
  <si>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</si>
  <si>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</si>
  <si>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</si>
  <si>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</si>
  <si>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</si>
  <si>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</si>
  <si>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</si>
  <si>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</si>
  <si>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</si>
  <si>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</si>
  <si>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</si>
  <si>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</si>
  <si>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</si>
  <si>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</si>
  <si>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</si>
  <si>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</si>
  <si>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</si>
  <si>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</si>
  <si>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</si>
  <si>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</si>
  <si>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</si>
  <si>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</si>
  <si>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</si>
  <si>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</si>
  <si>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</si>
  <si>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</si>
  <si>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</si>
  <si>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</si>
  <si>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</si>
  <si>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</si>
  <si>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</si>
  <si>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</si>
  <si>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</si>
  <si>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</si>
  <si>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</si>
  <si>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</si>
  <si>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</si>
  <si>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</si>
  <si>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</si>
  <si>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</si>
  <si>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</si>
  <si>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</si>
  <si>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</si>
  <si>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</si>
  <si>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</si>
  <si>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</si>
  <si>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</si>
  <si>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</si>
  <si>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</si>
  <si>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</si>
  <si>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</si>
  <si>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</si>
  <si>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</si>
  <si>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</si>
  <si>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</si>
  <si>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</si>
  <si>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</si>
  <si>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</si>
  <si>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</si>
  <si>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</si>
  <si>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</si>
  <si>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</si>
  <si>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</si>
  <si>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</si>
  <si>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</si>
  <si>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</si>
  <si>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</si>
  <si>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</si>
  <si>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</si>
  <si>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</si>
  <si>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</si>
  <si>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</si>
  <si>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</si>
  <si>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</si>
  <si>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</si>
  <si>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</si>
  <si>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</si>
  <si>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</si>
  <si>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</si>
  <si>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</si>
  <si>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</si>
  <si>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</si>
  <si>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</si>
  <si>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</si>
  <si>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</si>
  <si>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</si>
  <si>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</si>
  <si>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</si>
  <si>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</si>
  <si>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</si>
  <si>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</si>
  <si>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</si>
  <si>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</si>
  <si>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</si>
  <si>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</si>
  <si>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</si>
  <si>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</si>
  <si>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</si>
  <si>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</si>
  <si>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</si>
  <si>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</si>
  <si>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</si>
  <si>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</si>
  <si>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</si>
  <si>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</si>
  <si>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</si>
  <si>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</si>
  <si>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</si>
  <si>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</si>
  <si>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</si>
  <si>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</si>
  <si>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</si>
  <si>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</si>
  <si>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</si>
  <si>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</si>
  <si>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</si>
  <si>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</si>
  <si>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</si>
  <si>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</si>
  <si>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</si>
  <si>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</si>
  <si>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</si>
  <si>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</si>
  <si>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</si>
  <si>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</si>
  <si>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</si>
  <si>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</si>
  <si>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</si>
  <si>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</si>
  <si>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</si>
  <si>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</si>
  <si>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</si>
  <si>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</si>
  <si>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</si>
  <si>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</si>
  <si>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</si>
  <si>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</si>
  <si>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</si>
  <si>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</si>
  <si>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</si>
  <si>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</si>
  <si>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</si>
  <si>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</si>
  <si>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</si>
  <si>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</si>
  <si>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</si>
  <si>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</si>
  <si>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</si>
  <si>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</si>
  <si>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</si>
  <si>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</si>
  <si>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</si>
  <si>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</si>
  <si>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</si>
  <si>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</si>
  <si>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</si>
  <si>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</si>
  <si>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</si>
  <si>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</si>
  <si>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</si>
  <si>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</si>
  <si>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</si>
  <si>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</si>
  <si>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</si>
  <si>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</si>
  <si>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</si>
  <si>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</si>
  <si>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</si>
  <si>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</si>
  <si>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</si>
  <si>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</si>
  <si>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</si>
  <si>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</si>
  <si>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</si>
  <si>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</si>
  <si>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</si>
  <si>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</si>
  <si>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</si>
  <si>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</si>
  <si>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</si>
  <si>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</si>
  <si>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</si>
  <si>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</si>
  <si>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</si>
  <si>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</si>
  <si>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</si>
  <si>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</si>
  <si>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</si>
  <si>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</si>
  <si>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</si>
  <si>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</si>
  <si>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</si>
  <si>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</si>
  <si>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</si>
  <si>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</si>
  <si>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</si>
  <si>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</si>
  <si>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</si>
  <si>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</si>
  <si>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</si>
  <si>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</si>
  <si>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</si>
  <si>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</si>
  <si>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</si>
  <si>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</si>
  <si>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</si>
  <si>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</si>
  <si>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</si>
  <si>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</si>
  <si>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</si>
  <si>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</si>
  <si>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</si>
  <si>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</si>
  <si>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</si>
  <si>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</si>
  <si>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</si>
  <si>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</si>
  <si>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</si>
  <si>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</si>
  <si>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</si>
  <si>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</si>
  <si>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</si>
  <si>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</si>
  <si>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</si>
  <si>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</si>
  <si>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</si>
  <si>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</si>
  <si>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</si>
  <si>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</si>
  <si>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</si>
  <si>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</si>
  <si>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</si>
  <si>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</si>
  <si>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</si>
  <si>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</si>
  <si>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</si>
  <si>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</si>
  <si>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</si>
  <si>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</si>
  <si>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</si>
  <si>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</si>
  <si>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</si>
  <si>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</si>
  <si>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</si>
  <si>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</si>
  <si>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</si>
  <si>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</si>
  <si>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</si>
  <si>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</si>
  <si>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</si>
  <si>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</si>
  <si>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</si>
  <si>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</si>
  <si>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</si>
  <si>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</si>
  <si>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</si>
  <si>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</si>
  <si>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</si>
  <si>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</si>
  <si>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</si>
  <si>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</si>
  <si>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</si>
  <si>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</si>
  <si>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</si>
  <si>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</si>
  <si>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</si>
  <si>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</si>
  <si>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</si>
  <si>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</si>
  <si>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</si>
  <si>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</si>
  <si>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</si>
  <si>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</si>
  <si>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</si>
  <si>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</si>
  <si>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</si>
  <si>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</si>
  <si>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</si>
  <si>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</si>
  <si>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</si>
  <si>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</si>
  <si>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</si>
  <si>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</si>
  <si>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</si>
  <si>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</si>
  <si>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</si>
  <si>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</si>
  <si>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</si>
  <si>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</si>
  <si>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</si>
  <si>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</si>
  <si>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</si>
  <si>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</si>
  <si>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</si>
  <si>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</si>
  <si>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</si>
  <si>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</si>
  <si>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</si>
  <si>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</si>
  <si>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</si>
  <si>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</si>
  <si>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</si>
  <si>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</si>
  <si>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</si>
  <si>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</si>
  <si>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</si>
  <si>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</si>
  <si>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</si>
  <si>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</si>
  <si>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</si>
  <si>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</si>
  <si>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</si>
  <si>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</si>
  <si>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</si>
  <si>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</si>
  <si>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</si>
  <si>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</si>
  <si>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</si>
  <si>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</si>
  <si>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</si>
  <si>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</si>
  <si>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</si>
  <si>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</si>
  <si>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</si>
  <si>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</si>
  <si>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</si>
  <si>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</si>
  <si>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</si>
  <si>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</si>
  <si>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</si>
  <si>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</si>
  <si>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</si>
  <si>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</si>
  <si>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</si>
  <si>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</si>
  <si>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</si>
  <si>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</si>
  <si>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</si>
  <si>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</si>
  <si>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</si>
  <si>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</si>
  <si>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</si>
  <si>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</si>
  <si>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</si>
  <si>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</si>
  <si>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</si>
  <si>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</si>
  <si>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</si>
  <si>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</si>
  <si>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</si>
  <si>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</si>
  <si>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</si>
  <si>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</si>
  <si>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</si>
  <si>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</si>
  <si>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</si>
  <si>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</si>
  <si>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</si>
  <si>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</si>
  <si>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</si>
  <si>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</si>
  <si>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</si>
  <si>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</si>
  <si>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</si>
  <si>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</si>
  <si>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</si>
  <si>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</si>
  <si>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</si>
  <si>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</si>
  <si>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</si>
  <si>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</si>
  <si>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</si>
  <si>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</si>
  <si>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</si>
  <si>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</si>
  <si>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</si>
  <si>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</si>
  <si>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</si>
  <si>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</si>
  <si>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</si>
  <si>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</si>
  <si>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</si>
  <si>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</si>
  <si>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</si>
  <si>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</si>
  <si>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</si>
  <si>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</si>
  <si>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</si>
  <si>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</si>
  <si>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</si>
  <si>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</si>
  <si>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</si>
  <si>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</si>
  <si>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</si>
  <si>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</si>
  <si>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</si>
  <si>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</si>
  <si>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</si>
  <si>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</si>
  <si>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</si>
  <si>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</si>
  <si>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</si>
  <si>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</si>
  <si>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</si>
  <si>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</si>
  <si>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</si>
  <si>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</si>
  <si>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</si>
  <si>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</si>
  <si>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</si>
  <si>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</si>
  <si>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</si>
  <si>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</si>
  <si>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</si>
  <si>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</si>
  <si>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</si>
  <si>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</si>
  <si>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</si>
  <si>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</si>
  <si>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</si>
  <si>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</si>
  <si>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</si>
  <si>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</si>
  <si>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</si>
  <si>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</si>
  <si>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</si>
  <si>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</si>
  <si>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</si>
  <si>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</si>
  <si>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</si>
  <si>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</si>
  <si>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</si>
  <si>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</si>
  <si>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</si>
  <si>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</si>
  <si>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</si>
  <si>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</si>
  <si>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</si>
  <si>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</si>
  <si>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</si>
  <si>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</si>
  <si>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</si>
  <si>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</si>
  <si>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</si>
  <si>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</si>
  <si>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</si>
  <si>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</si>
  <si>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</si>
  <si>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</si>
  <si>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</si>
  <si>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</si>
  <si>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</si>
  <si>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</si>
  <si>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</si>
  <si>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</si>
  <si>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</si>
  <si>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</si>
  <si>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</si>
  <si>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</si>
  <si>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</si>
  <si>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</si>
  <si>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</si>
  <si>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</si>
  <si>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</si>
  <si>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</si>
  <si>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</si>
  <si>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</si>
  <si>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</si>
  <si>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</si>
  <si>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</si>
  <si>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</si>
  <si>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</si>
  <si>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</si>
  <si>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</si>
  <si>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</si>
  <si>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</si>
  <si>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</si>
  <si>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</si>
  <si>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</si>
  <si>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</si>
  <si>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</si>
  <si>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</si>
  <si>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</si>
  <si>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</si>
  <si>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</si>
  <si>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</si>
  <si>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</si>
  <si>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</si>
  <si>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</si>
  <si>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</si>
  <si>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</si>
  <si>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</si>
  <si>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</si>
  <si>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</si>
  <si>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</si>
  <si>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</si>
  <si>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</si>
  <si>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</si>
  <si>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</si>
  <si>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</si>
  <si>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</si>
  <si>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</si>
  <si>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</si>
  <si>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</si>
  <si>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</si>
  <si>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</si>
  <si>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</si>
  <si>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</si>
  <si>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</si>
  <si>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</si>
  <si>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</si>
  <si>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</si>
  <si>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</si>
  <si>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</si>
  <si>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</si>
  <si>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</si>
  <si>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</si>
  <si>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</si>
  <si>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</si>
  <si>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</si>
  <si>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</si>
  <si>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</si>
  <si>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</si>
  <si>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</si>
  <si>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</si>
  <si>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</si>
  <si>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</si>
  <si>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</si>
  <si>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</si>
  <si>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</si>
  <si>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</si>
  <si>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</si>
  <si>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</si>
  <si>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</si>
  <si>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</si>
  <si>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</si>
  <si>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</si>
  <si>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</si>
  <si>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</si>
  <si>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</si>
  <si>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</si>
  <si>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</si>
  <si>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</si>
  <si>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</si>
  <si>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</si>
  <si>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</si>
  <si>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</si>
  <si>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</si>
  <si>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</si>
  <si>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</si>
  <si>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</si>
  <si>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</si>
  <si>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</si>
  <si>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</si>
  <si>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</si>
  <si>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</si>
  <si>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</si>
  <si>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</si>
  <si>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</si>
  <si>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</si>
  <si>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</si>
  <si>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</si>
  <si>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</si>
  <si>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</si>
  <si>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</si>
  <si>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</si>
  <si>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</si>
  <si>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</si>
  <si>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</si>
  <si>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</si>
  <si>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</si>
  <si>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</si>
  <si>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</si>
  <si>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</si>
  <si>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</si>
  <si>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</si>
  <si>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</si>
  <si>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</si>
  <si>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</si>
  <si>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</si>
  <si>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</si>
  <si>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</si>
  <si>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</si>
  <si>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</si>
  <si>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</si>
  <si>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</si>
  <si>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</si>
  <si>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</si>
  <si>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</si>
  <si>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</si>
  <si>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</si>
  <si>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</si>
  <si>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</si>
  <si>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</si>
  <si>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</si>
  <si>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</si>
  <si>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</si>
  <si>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</si>
  <si>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</si>
  <si>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</si>
  <si>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</si>
  <si>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</si>
  <si>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</si>
  <si>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</si>
  <si>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</si>
  <si>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</si>
  <si>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</si>
  <si>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</si>
  <si>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</si>
  <si>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</si>
  <si>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</si>
  <si>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</si>
  <si>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</si>
  <si>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</si>
  <si>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</si>
  <si>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</si>
  <si>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</si>
  <si>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</si>
  <si>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</si>
  <si>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</si>
  <si>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</si>
  <si>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</si>
  <si>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</si>
  <si>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</si>
  <si>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</si>
  <si>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</si>
  <si>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</si>
  <si>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</si>
  <si>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</si>
  <si>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</si>
  <si>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</si>
  <si>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</si>
  <si>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</si>
  <si>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</si>
  <si>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</si>
  <si>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</si>
  <si>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</si>
  <si>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</si>
  <si>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</si>
  <si>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</si>
  <si>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</si>
  <si>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</si>
  <si>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</si>
  <si>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</si>
  <si>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</si>
  <si>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</si>
  <si>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</si>
  <si>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</si>
  <si>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</si>
  <si>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</si>
  <si>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</si>
  <si>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</si>
  <si>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</si>
  <si>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</si>
  <si>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</si>
  <si>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</si>
  <si>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</si>
  <si>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</si>
  <si>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</si>
  <si>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</si>
  <si>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</si>
  <si>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</si>
  <si>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</si>
  <si>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</si>
  <si>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</si>
  <si>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</si>
  <si>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</si>
  <si>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</si>
  <si>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</si>
  <si>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</si>
  <si>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</si>
  <si>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</si>
  <si>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</si>
  <si>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</si>
  <si>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</si>
  <si>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</si>
  <si>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</si>
  <si>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</si>
  <si>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</si>
  <si>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</si>
  <si>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</si>
  <si>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</si>
  <si>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</si>
  <si>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</si>
  <si>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</si>
  <si>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</si>
  <si>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</si>
  <si>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</si>
  <si>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</si>
  <si>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</si>
  <si>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</si>
  <si>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</si>
  <si>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</si>
  <si>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</si>
  <si>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</si>
  <si>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</si>
  <si>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</si>
  <si>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</si>
  <si>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</si>
  <si>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</si>
  <si>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</si>
  <si>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</si>
  <si>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</si>
  <si>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</si>
  <si>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</si>
  <si>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</si>
  <si>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</si>
  <si>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</si>
  <si>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</si>
  <si>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</si>
  <si>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</si>
  <si>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</si>
  <si>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</si>
  <si>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</si>
  <si>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</si>
  <si>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</si>
  <si>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</si>
  <si>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</si>
  <si>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</si>
  <si>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</si>
  <si>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</si>
  <si>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</si>
  <si>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</si>
  <si>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</si>
  <si>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</si>
  <si>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</si>
  <si>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</si>
  <si>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</si>
  <si>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</si>
  <si>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</si>
  <si>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</si>
  <si>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</si>
  <si>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</si>
  <si>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</si>
  <si>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</si>
  <si>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</si>
  <si>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</si>
  <si>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</si>
  <si>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</si>
  <si>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</si>
  <si>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</si>
  <si>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</si>
  <si>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</si>
  <si>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</si>
  <si>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</si>
  <si>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</si>
  <si>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</si>
  <si>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</si>
  <si>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</si>
  <si>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</si>
  <si>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</si>
  <si>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</si>
  <si>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</si>
  <si>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</si>
  <si>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</si>
  <si>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</si>
  <si>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</si>
  <si>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</si>
  <si>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</si>
  <si>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</si>
  <si>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</si>
  <si>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</si>
  <si>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</si>
  <si>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</si>
  <si>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</si>
  <si>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</si>
  <si>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</si>
  <si>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</si>
  <si>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</si>
  <si>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</si>
  <si>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</si>
  <si>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</si>
  <si>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</si>
  <si>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</si>
  <si>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</si>
  <si>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</si>
  <si>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</si>
  <si>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</si>
  <si>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</si>
  <si>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</si>
  <si>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</si>
  <si>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</si>
  <si>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</si>
  <si>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</si>
  <si>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</si>
  <si>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</si>
  <si>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</si>
  <si>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</si>
  <si>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</si>
  <si>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</si>
  <si>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</si>
  <si>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</si>
  <si>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</si>
  <si>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</si>
  <si>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</si>
  <si>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</si>
  <si>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</si>
  <si>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</si>
  <si>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</si>
  <si>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</si>
  <si>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</si>
  <si>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</si>
  <si>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</si>
  <si>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</si>
  <si>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</si>
  <si>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</si>
  <si>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</si>
  <si>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</si>
  <si>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</si>
  <si>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</si>
  <si>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</si>
  <si>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</si>
  <si>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</si>
  <si>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</si>
  <si>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</si>
  <si>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</si>
  <si>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</si>
  <si>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</si>
  <si>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</si>
  <si>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</si>
  <si>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</si>
  <si>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</si>
  <si>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</si>
  <si>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</si>
  <si>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</si>
  <si>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</si>
  <si>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</si>
  <si>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</si>
  <si>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</si>
  <si>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</si>
  <si>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</si>
  <si>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</si>
  <si>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</si>
  <si>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</si>
  <si>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</si>
  <si>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</si>
  <si>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</si>
  <si>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</si>
  <si>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</si>
  <si>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</si>
  <si>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</si>
  <si>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</si>
  <si>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</si>
  <si>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</si>
  <si>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</si>
  <si>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</si>
  <si>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</si>
  <si>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</si>
  <si>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</si>
  <si>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</si>
  <si>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</si>
  <si>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</si>
  <si>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</si>
  <si>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</si>
  <si>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</si>
  <si>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</si>
  <si>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</si>
  <si>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</si>
  <si>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</si>
  <si>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</si>
  <si>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</si>
  <si>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</si>
  <si>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</si>
  <si>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</si>
  <si>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</si>
  <si>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</si>
  <si>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</si>
  <si>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</si>
  <si>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</si>
  <si>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</si>
  <si>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</si>
  <si>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</si>
  <si>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</si>
  <si>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</si>
  <si>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</si>
  <si>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</si>
  <si>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</si>
  <si>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</si>
  <si>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</si>
  <si>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</si>
  <si>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</si>
  <si>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</si>
  <si>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</si>
  <si>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</si>
  <si>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</si>
  <si>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</si>
  <si>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</si>
  <si>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</si>
  <si>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</si>
  <si>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</si>
  <si>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</si>
  <si>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</si>
  <si>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</si>
  <si>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</si>
  <si>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</si>
  <si>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</si>
  <si>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</si>
  <si>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</si>
  <si>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</si>
  <si>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</si>
  <si>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</si>
  <si>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</si>
  <si>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</si>
  <si>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</si>
  <si>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</si>
  <si>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</si>
  <si>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</si>
  <si>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</si>
  <si>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</si>
  <si>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</si>
  <si>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</si>
  <si>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</si>
  <si>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</si>
  <si>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</si>
  <si>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</si>
  <si>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</si>
  <si>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</si>
  <si>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</si>
  <si>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</si>
  <si>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</si>
  <si>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</si>
  <si>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</si>
  <si>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</si>
  <si>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</si>
  <si>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</si>
  <si>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</si>
  <si>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</si>
  <si>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</si>
  <si>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</si>
  <si>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</si>
  <si>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</si>
  <si>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</si>
  <si>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</si>
  <si>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</si>
  <si>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</si>
  <si>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</si>
  <si>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</si>
  <si>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</si>
  <si>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</si>
  <si>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</si>
  <si>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</si>
  <si>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</si>
  <si>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</si>
  <si>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</si>
  <si>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</si>
  <si>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</si>
  <si>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</si>
  <si>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</si>
  <si>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</si>
  <si>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</si>
  <si>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</si>
  <si>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</si>
  <si>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</si>
  <si>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</si>
  <si>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</si>
  <si>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</si>
  <si>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</si>
  <si>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</si>
  <si>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</si>
  <si>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</si>
  <si>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</si>
  <si>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</si>
  <si>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</si>
  <si>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</si>
  <si>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</si>
  <si>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</si>
  <si>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</si>
  <si>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</si>
  <si>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</si>
  <si>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</si>
  <si>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</si>
  <si>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</si>
  <si>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</si>
  <si>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</si>
  <si>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</si>
  <si>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</si>
  <si>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</si>
  <si>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</si>
  <si>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</si>
  <si>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</si>
  <si>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</si>
  <si>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</si>
  <si>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</si>
  <si>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</si>
  <si>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</si>
  <si>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</si>
  <si>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</si>
  <si>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</si>
  <si>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</si>
  <si>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</si>
  <si>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</si>
  <si>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</si>
  <si>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</si>
  <si>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</si>
  <si>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</si>
  <si>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</si>
  <si>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</si>
  <si>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</si>
  <si>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</si>
  <si>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</si>
  <si>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</si>
  <si>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</si>
  <si>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</si>
  <si>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</si>
  <si>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</si>
  <si>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</si>
  <si>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</si>
  <si>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</si>
  <si>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</si>
  <si>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</si>
  <si>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</si>
  <si>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</si>
  <si>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</si>
  <si>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</si>
  <si>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</si>
  <si>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</si>
  <si>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</si>
  <si>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</si>
  <si>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</si>
  <si>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</si>
  <si>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</si>
  <si>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</si>
  <si>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</si>
  <si>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</si>
  <si>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</si>
  <si>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</si>
  <si>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</si>
  <si>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</si>
  <si>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</si>
  <si>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</si>
  <si>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</si>
  <si>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</si>
  <si>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</si>
  <si>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</si>
  <si>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</si>
  <si>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</si>
  <si>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</si>
  <si>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</si>
  <si>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</si>
  <si>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</si>
  <si>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</si>
  <si>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</si>
  <si>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</si>
  <si>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</si>
  <si>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</si>
  <si>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</si>
  <si>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</si>
  <si>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</si>
  <si>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</si>
  <si>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</si>
  <si>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</si>
  <si>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</si>
  <si>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</si>
  <si>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</si>
  <si>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</si>
  <si>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</si>
  <si>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</si>
  <si>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</si>
  <si>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</si>
  <si>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</si>
  <si>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</si>
  <si>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</si>
  <si>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</si>
  <si>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</si>
  <si>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</si>
  <si>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</si>
  <si>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</si>
  <si>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</si>
  <si>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</si>
  <si>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</si>
  <si>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</si>
  <si>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</si>
  <si>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</si>
  <si>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</si>
  <si>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</si>
  <si>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</si>
  <si>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</si>
  <si>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</si>
  <si>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</si>
  <si>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</si>
  <si>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</si>
  <si>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</si>
  <si>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</si>
  <si>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</si>
  <si>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</si>
  <si>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</si>
  <si>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</si>
  <si>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</si>
  <si>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</si>
  <si>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</si>
  <si>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</si>
  <si>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</si>
  <si>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</si>
  <si>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</si>
  <si>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</si>
  <si>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</si>
  <si>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</si>
  <si>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</si>
  <si>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</si>
  <si>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</si>
  <si>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</si>
  <si>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</si>
  <si>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</si>
  <si>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</si>
  <si>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</si>
  <si>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</si>
  <si>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</si>
  <si>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</si>
  <si>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</si>
  <si>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</si>
  <si>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</si>
  <si>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</si>
  <si>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</si>
  <si>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</si>
  <si>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</si>
  <si>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</si>
  <si>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</si>
  <si>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</si>
  <si>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</si>
  <si>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</si>
  <si>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</si>
  <si>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</si>
  <si>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</si>
  <si>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</si>
  <si>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</si>
  <si>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</si>
  <si>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</si>
  <si>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</si>
  <si>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</si>
  <si>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</si>
  <si>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</si>
  <si>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</si>
  <si>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</si>
  <si>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</si>
  <si>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</si>
  <si>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</si>
  <si>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</si>
  <si>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</si>
  <si>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</si>
  <si>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</si>
  <si>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</si>
  <si>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</si>
  <si>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</si>
  <si>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</si>
  <si>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</si>
  <si>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</si>
  <si>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</si>
  <si>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</si>
  <si>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</si>
  <si>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</si>
  <si>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</si>
  <si>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</si>
  <si>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</si>
  <si>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</si>
  <si>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</si>
  <si>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</si>
  <si>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</si>
  <si>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</si>
  <si>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</si>
  <si>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</si>
  <si>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</si>
  <si>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</si>
  <si>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</si>
  <si>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</si>
  <si>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</si>
  <si>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</si>
  <si>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</si>
  <si>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</si>
  <si>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</si>
  <si>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</si>
  <si>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</si>
  <si>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</si>
  <si>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</si>
  <si>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</si>
  <si>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</si>
  <si>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</si>
  <si>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</si>
  <si>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</si>
  <si>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</si>
  <si>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</si>
  <si>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</si>
  <si>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</si>
  <si>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</si>
  <si>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</si>
  <si>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</si>
  <si>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</si>
  <si>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</si>
  <si>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</si>
  <si>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</si>
  <si>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</si>
  <si>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</si>
  <si>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</si>
  <si>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</si>
  <si>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</si>
  <si>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</si>
  <si>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</si>
  <si>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</si>
  <si>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</si>
  <si>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</si>
  <si>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</si>
  <si>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</si>
  <si>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</si>
  <si>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</si>
  <si>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</si>
  <si>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</si>
  <si>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</si>
  <si>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</si>
  <si>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</si>
  <si>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</si>
  <si>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</si>
  <si>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</si>
  <si>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</si>
  <si>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</si>
  <si>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</si>
  <si>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</si>
  <si>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</si>
  <si>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</si>
  <si>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</si>
  <si>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</si>
  <si>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</si>
  <si>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</si>
  <si>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</si>
  <si>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</si>
  <si>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</si>
  <si>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</si>
  <si>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</si>
  <si>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</si>
  <si>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</si>
  <si>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</si>
  <si>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</si>
  <si>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</si>
  <si>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</si>
  <si>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</si>
  <si>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</si>
  <si>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</si>
  <si>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</si>
  <si>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</si>
  <si>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</si>
  <si>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</si>
  <si>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</si>
  <si>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</si>
  <si>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</si>
  <si>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</si>
  <si>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</si>
  <si>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</si>
  <si>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</si>
  <si>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</si>
  <si>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</si>
  <si>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</si>
  <si>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</si>
  <si>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</si>
  <si>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</si>
  <si>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</si>
  <si>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</si>
  <si>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</si>
  <si>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</si>
  <si>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</si>
  <si>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</si>
  <si>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</si>
  <si>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</si>
  <si>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</si>
  <si>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</si>
  <si>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</si>
  <si>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</si>
  <si>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</si>
  <si>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</si>
  <si>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</si>
  <si>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</si>
  <si>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</si>
  <si>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</si>
  <si>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</si>
  <si>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</si>
  <si>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</si>
  <si>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</si>
  <si>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</si>
  <si>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</si>
  <si>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</si>
  <si>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</si>
  <si>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</si>
  <si>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</si>
  <si>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</si>
  <si>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</si>
  <si>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</si>
  <si>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</si>
  <si>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</si>
  <si>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</si>
  <si>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</si>
  <si>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</si>
  <si>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</si>
  <si>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</si>
  <si>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</si>
  <si>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</si>
  <si>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</si>
  <si>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</si>
  <si>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</si>
  <si>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</si>
  <si>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</si>
  <si>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</si>
  <si>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</si>
  <si>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</si>
  <si>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</si>
  <si>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</si>
  <si>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</si>
  <si>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</si>
  <si>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</si>
  <si>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</si>
  <si>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</si>
  <si>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</si>
  <si>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</si>
  <si>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</si>
  <si>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</si>
  <si>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</si>
  <si>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</si>
  <si>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</si>
  <si>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</si>
  <si>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</si>
  <si>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</si>
  <si>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</si>
  <si>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</si>
  <si>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</si>
  <si>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</si>
  <si>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</si>
  <si>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</si>
  <si>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</si>
  <si>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</si>
  <si>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</si>
  <si>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</si>
  <si>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</si>
  <si>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</si>
  <si>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</si>
  <si>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</si>
  <si>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</si>
  <si>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</si>
  <si>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</si>
  <si>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</si>
  <si>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</si>
  <si>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</si>
  <si>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</si>
  <si>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</si>
  <si>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</si>
  <si>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</si>
  <si>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</si>
  <si>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</si>
  <si>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</si>
  <si>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</si>
  <si>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</si>
  <si>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</si>
  <si>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</si>
  <si>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</si>
  <si>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</si>
  <si>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</si>
  <si>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</si>
  <si>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</si>
  <si>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</si>
  <si>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</si>
  <si>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</si>
  <si>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</si>
  <si>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</si>
  <si>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</si>
  <si>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</si>
  <si>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</si>
  <si>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</si>
  <si>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</si>
  <si>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</si>
  <si>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</si>
  <si>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</si>
  <si>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</si>
  <si>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</si>
  <si>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</si>
  <si>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</si>
  <si>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</si>
  <si>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</si>
  <si>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</si>
  <si>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</si>
  <si>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</si>
  <si>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</si>
  <si>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</si>
  <si>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</si>
  <si>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</si>
  <si>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</si>
  <si>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</si>
  <si>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</si>
  <si>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</si>
  <si>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</si>
  <si>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</si>
  <si>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</si>
  <si>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</si>
  <si>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</si>
  <si>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</si>
  <si>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</si>
  <si>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</si>
  <si>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</si>
  <si>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</si>
  <si>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</si>
  <si>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</si>
  <si>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</si>
  <si>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</si>
  <si>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</si>
  <si>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</si>
  <si>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</si>
  <si>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</si>
  <si>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</si>
  <si>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</si>
  <si>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</si>
  <si>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</si>
  <si>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</si>
  <si>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</si>
  <si>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</si>
  <si>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</si>
  <si>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</si>
  <si>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</si>
  <si>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</si>
  <si>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</si>
  <si>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</si>
  <si>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</si>
  <si>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</si>
  <si>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</si>
  <si>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</si>
  <si>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</si>
  <si>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</si>
  <si>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</si>
  <si>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</si>
  <si>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</si>
  <si>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</si>
  <si>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</si>
  <si>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</si>
  <si>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</si>
  <si>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</si>
  <si>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</si>
  <si>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</si>
  <si>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</si>
  <si>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</si>
  <si>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</si>
  <si>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</si>
  <si>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</si>
  <si>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</si>
  <si>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</si>
  <si>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</si>
  <si>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</si>
  <si>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</si>
  <si>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</si>
  <si>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</si>
  <si>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</si>
  <si>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</si>
  <si>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</si>
  <si>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</si>
  <si>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</si>
  <si>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</si>
  <si>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</si>
  <si>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</si>
  <si>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</si>
  <si>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</si>
  <si>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</si>
  <si>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</si>
  <si>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</si>
  <si>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</si>
  <si>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</si>
  <si>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</si>
  <si>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</si>
  <si>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</si>
  <si>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</si>
  <si>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</si>
  <si>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</si>
  <si>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</si>
  <si>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</si>
  <si>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</si>
  <si>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</si>
  <si>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</si>
  <si>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</si>
  <si>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</si>
  <si>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</si>
  <si>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</si>
  <si>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</si>
  <si>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</si>
  <si>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</si>
  <si>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</si>
  <si>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</si>
  <si>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</si>
  <si>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</si>
  <si>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</si>
  <si>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</si>
  <si>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</si>
  <si>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</si>
  <si>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</si>
  <si>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</si>
  <si>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</si>
  <si>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</si>
  <si>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</si>
  <si>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</si>
  <si>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</si>
  <si>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</si>
  <si>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</si>
  <si>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</si>
  <si>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</si>
  <si>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</si>
  <si>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</si>
  <si>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</si>
  <si>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</si>
  <si>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</si>
  <si>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</si>
  <si>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</si>
  <si>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</si>
  <si>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</si>
  <si>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</si>
  <si>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</si>
  <si>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</si>
  <si>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</si>
  <si>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</si>
  <si>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</si>
  <si>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</si>
  <si>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</si>
  <si>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</si>
  <si>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</si>
  <si>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</si>
  <si>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</si>
  <si>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</si>
  <si>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</si>
  <si>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</si>
  <si>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</si>
  <si>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</si>
  <si>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</si>
  <si>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</si>
  <si>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</si>
  <si>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</si>
  <si>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</si>
  <si>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</si>
  <si>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</si>
  <si>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</si>
  <si>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</si>
  <si>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</si>
  <si>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</si>
  <si>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</si>
  <si>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</si>
  <si>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</si>
  <si>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</si>
  <si>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</si>
  <si>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</si>
  <si>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</si>
  <si>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</si>
  <si>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</si>
  <si>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</si>
  <si>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</si>
  <si>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</si>
  <si>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</si>
  <si>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</si>
  <si>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</si>
  <si>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</si>
  <si>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</si>
  <si>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</si>
  <si>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</si>
  <si>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</si>
  <si>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</si>
  <si>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</si>
  <si>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</si>
  <si>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</si>
  <si>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</si>
  <si>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</si>
  <si>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</si>
  <si>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</si>
  <si>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</si>
  <si>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</si>
  <si>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</si>
  <si>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</si>
  <si>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</si>
  <si>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</si>
  <si>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</si>
  <si>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</si>
  <si>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</si>
  <si>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</si>
  <si>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</si>
  <si>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</si>
  <si>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</si>
  <si>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</si>
  <si>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</si>
  <si>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</si>
  <si>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</si>
  <si>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</si>
  <si>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</si>
  <si>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</si>
  <si>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</si>
  <si>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</si>
  <si>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</si>
  <si>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</si>
  <si>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</si>
  <si>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</si>
  <si>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</si>
  <si>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</si>
  <si>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</si>
  <si>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</si>
  <si>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</si>
  <si>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</si>
  <si>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</si>
  <si>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</si>
  <si>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</si>
  <si>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</si>
  <si>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</si>
  <si>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</si>
  <si>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</si>
  <si>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</si>
  <si>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</si>
  <si>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</si>
  <si>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</si>
  <si>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</si>
  <si>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</si>
  <si>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</si>
  <si>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</si>
  <si>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</si>
  <si>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</si>
  <si>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</si>
  <si>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</si>
  <si>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</si>
  <si>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</si>
  <si>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</si>
  <si>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</si>
  <si>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</si>
  <si>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</si>
  <si>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</si>
  <si>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</si>
  <si>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</si>
  <si>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</si>
  <si>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</si>
  <si>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</si>
  <si>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</si>
  <si>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</si>
  <si>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</si>
  <si>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</si>
  <si>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</si>
  <si>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</si>
  <si>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</si>
  <si>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</si>
  <si>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</si>
  <si>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</si>
  <si>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</si>
  <si>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</si>
  <si>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</si>
  <si>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</si>
  <si>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</si>
  <si>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</si>
  <si>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</si>
  <si>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</si>
  <si>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</si>
  <si>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</si>
  <si>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</si>
  <si>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</si>
  <si>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</si>
  <si>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</si>
  <si>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</si>
  <si>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</si>
  <si>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</si>
  <si>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</si>
  <si>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</si>
  <si>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</si>
  <si>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</si>
  <si>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</si>
  <si>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</si>
  <si>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</si>
  <si>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</si>
  <si>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</si>
  <si>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</si>
  <si>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</si>
  <si>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</si>
  <si>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</si>
  <si>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</si>
  <si>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</si>
  <si>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</si>
  <si>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</si>
  <si>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</si>
  <si>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</si>
  <si>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</si>
  <si>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</si>
  <si>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</si>
  <si>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</si>
  <si>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</si>
  <si>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</si>
  <si>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</si>
  <si>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</si>
  <si>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</si>
  <si>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</si>
  <si>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</si>
  <si>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</si>
  <si>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</si>
  <si>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</si>
  <si>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</si>
  <si>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</si>
  <si>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</si>
  <si>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</si>
  <si>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</si>
  <si>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</si>
  <si>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</si>
  <si>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</si>
  <si>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</si>
  <si>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</si>
  <si>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</si>
  <si>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</si>
  <si>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</si>
  <si>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</si>
  <si>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</si>
  <si>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</si>
  <si>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</si>
  <si>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</si>
  <si>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</si>
  <si>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</si>
  <si>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</si>
  <si>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</si>
  <si>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</si>
  <si>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</si>
  <si>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</si>
  <si>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</si>
  <si>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</si>
  <si>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</si>
  <si>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</si>
  <si>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</si>
  <si>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</si>
  <si>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</si>
  <si>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</si>
  <si>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</si>
  <si>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</si>
  <si>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</si>
  <si>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</si>
  <si>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</si>
  <si>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</si>
  <si>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</si>
  <si>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</si>
  <si>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</si>
  <si>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</si>
  <si>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</si>
  <si>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</si>
  <si>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</si>
  <si>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</si>
  <si>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</si>
  <si>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</si>
  <si>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</si>
  <si>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</si>
  <si>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</si>
  <si>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</si>
  <si>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</si>
  <si>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</si>
  <si>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</si>
  <si>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</si>
  <si>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</si>
  <si>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</si>
  <si>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</si>
  <si>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</si>
  <si>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</si>
  <si>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</si>
  <si>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</si>
  <si>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</si>
  <si>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</si>
  <si>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</si>
  <si>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</si>
  <si>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</si>
  <si>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</si>
  <si>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</si>
  <si>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</si>
  <si>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</si>
  <si>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</si>
  <si>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</si>
  <si>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</si>
  <si>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</si>
  <si>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</si>
  <si>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</si>
  <si>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</si>
  <si>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</si>
  <si>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</si>
  <si>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</si>
  <si>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</si>
  <si>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</si>
  <si>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</si>
  <si>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</si>
  <si>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</si>
  <si>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</si>
  <si>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</si>
  <si>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</si>
  <si>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</si>
  <si>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</si>
  <si>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</si>
  <si>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</si>
  <si>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</si>
  <si>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</si>
  <si>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</si>
  <si>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</si>
  <si>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</si>
  <si>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</si>
  <si>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</si>
  <si>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</si>
  <si>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</si>
  <si>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</si>
  <si>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</si>
  <si>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</si>
  <si>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</si>
  <si>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</si>
  <si>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</si>
  <si>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</si>
  <si>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</si>
  <si>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</si>
  <si>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</si>
  <si>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</si>
  <si>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</si>
  <si>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</si>
  <si>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</si>
  <si>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</si>
  <si>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</si>
  <si>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</si>
  <si>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</si>
  <si>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</si>
  <si>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</si>
  <si>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</si>
  <si>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</si>
  <si>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</si>
  <si>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</si>
  <si>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</si>
  <si>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</si>
  <si>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</si>
  <si>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</si>
  <si>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</si>
  <si>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</si>
  <si>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</si>
  <si>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</si>
  <si>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</si>
  <si>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</si>
  <si>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</si>
  <si>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</si>
  <si>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</si>
  <si>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</si>
  <si>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</si>
  <si>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</si>
  <si>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</si>
  <si>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</si>
  <si>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</si>
  <si>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</si>
  <si>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</si>
  <si>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</si>
  <si>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</si>
  <si>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</si>
  <si>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</si>
  <si>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</si>
  <si>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</si>
  <si>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</si>
  <si>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</si>
  <si>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</si>
  <si>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</si>
  <si>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</si>
  <si>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</si>
  <si>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</si>
  <si>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</si>
  <si>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</si>
  <si>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</si>
  <si>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</si>
  <si>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</si>
  <si>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</si>
  <si>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</si>
  <si>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</si>
  <si>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</si>
  <si>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</si>
  <si>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</si>
  <si>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</si>
  <si>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</si>
  <si>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</si>
  <si>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</si>
  <si>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</si>
  <si>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</si>
  <si>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</si>
  <si>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</si>
  <si>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</si>
  <si>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</si>
  <si>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</si>
  <si>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</si>
  <si>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</si>
  <si>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</si>
  <si>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</si>
  <si>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</si>
  <si>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</si>
  <si>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</si>
  <si>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</si>
  <si>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</si>
  <si>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</si>
  <si>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</si>
  <si>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</si>
  <si>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</si>
  <si>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</si>
  <si>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</si>
  <si>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</si>
  <si>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</si>
  <si>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</si>
  <si>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</si>
  <si>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</si>
  <si>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</si>
  <si>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</si>
  <si>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</si>
  <si>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</si>
  <si>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</si>
  <si>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</si>
  <si>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</si>
  <si>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</si>
  <si>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</si>
  <si>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</si>
  <si>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</si>
  <si>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</si>
  <si>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</si>
  <si>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</si>
  <si>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</si>
  <si>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</si>
  <si>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</si>
  <si>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</si>
  <si>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</si>
  <si>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</si>
  <si>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</si>
  <si>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</si>
  <si>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</si>
  <si>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</si>
  <si>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</si>
  <si>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</si>
  <si>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</si>
  <si>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</si>
  <si>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</si>
  <si>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</si>
  <si>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</si>
  <si>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</si>
  <si>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</si>
  <si>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</si>
  <si>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</si>
  <si>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</si>
  <si>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</si>
  <si>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</si>
  <si>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</si>
  <si>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</si>
  <si>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</si>
  <si>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</si>
  <si>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</si>
  <si>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</si>
  <si>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</si>
  <si>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</si>
  <si>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</si>
  <si>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</si>
  <si>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</si>
  <si>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</si>
  <si>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</si>
  <si>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</si>
  <si>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</si>
  <si>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</si>
  <si>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</si>
  <si>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</si>
  <si>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</si>
  <si>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</si>
  <si>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</si>
  <si>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</si>
  <si>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</si>
  <si>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</si>
  <si>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</si>
  <si>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</si>
  <si>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</si>
  <si>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</si>
  <si>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</si>
  <si>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</si>
  <si>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</si>
  <si>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</si>
  <si>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</si>
  <si>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</si>
  <si>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</si>
  <si>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</si>
  <si>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</si>
  <si>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</si>
  <si>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</si>
  <si>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</si>
  <si>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</si>
  <si>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</si>
  <si>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</si>
  <si>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</si>
  <si>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</si>
  <si>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</si>
  <si>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</si>
  <si>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</si>
  <si>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</si>
  <si>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</si>
  <si>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</si>
  <si>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</si>
  <si>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</si>
  <si>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</si>
  <si>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</si>
  <si>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</si>
  <si>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</si>
  <si>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</si>
  <si>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</si>
  <si>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</si>
  <si>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</si>
  <si>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</si>
  <si>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</si>
  <si>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</si>
  <si>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</si>
  <si>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</si>
  <si>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</si>
  <si>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</si>
  <si>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</si>
  <si>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</si>
  <si>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</si>
  <si>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</si>
  <si>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</si>
  <si>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</si>
  <si>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</si>
  <si>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</si>
  <si>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</si>
  <si>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</si>
  <si>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</si>
  <si>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</si>
  <si>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</si>
  <si>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</si>
  <si>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</si>
  <si>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</si>
  <si>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</si>
  <si>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</si>
  <si>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</si>
  <si>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</si>
  <si>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</si>
  <si>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</si>
  <si>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</si>
  <si>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</si>
  <si>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</si>
  <si>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</si>
  <si>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</si>
  <si>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</si>
  <si>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</si>
  <si>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</si>
  <si>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</si>
  <si>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</si>
  <si>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</si>
  <si>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</si>
  <si>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</si>
  <si>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</si>
  <si>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</si>
  <si>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</si>
  <si>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</si>
  <si>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</si>
  <si>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</si>
  <si>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</si>
  <si>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</si>
  <si>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</si>
  <si>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</si>
  <si>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</si>
  <si>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</si>
  <si>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</si>
  <si>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</si>
  <si>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</si>
  <si>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</si>
  <si>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</si>
  <si>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</si>
  <si>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</si>
  <si>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</si>
  <si>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</si>
  <si>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</si>
  <si>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</si>
  <si>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</si>
  <si>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</si>
  <si>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</si>
  <si>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</si>
  <si>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</si>
  <si>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</si>
  <si>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</si>
  <si>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</si>
  <si>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</si>
  <si>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</si>
  <si>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</si>
  <si>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</si>
  <si>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</si>
  <si>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</si>
  <si>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</si>
  <si>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</si>
  <si>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</si>
  <si>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</si>
  <si>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</si>
  <si>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</si>
  <si>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</si>
  <si>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</si>
  <si>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</si>
  <si>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</si>
  <si>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</si>
  <si>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</si>
  <si>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</si>
  <si>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</si>
  <si>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</si>
  <si>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</si>
  <si>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</si>
  <si>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</si>
  <si>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</si>
  <si>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</si>
  <si>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</si>
  <si>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</si>
  <si>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</si>
  <si>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</si>
  <si>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</si>
  <si>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</si>
  <si>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</si>
  <si>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</si>
  <si>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</si>
  <si>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</si>
  <si>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</si>
  <si>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</si>
  <si>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</si>
  <si>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</si>
  <si>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</si>
  <si>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</si>
  <si>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</si>
  <si>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</si>
  <si>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</si>
  <si>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</si>
  <si>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</si>
  <si>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</si>
  <si>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</si>
  <si>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</si>
  <si>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</si>
  <si>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</si>
  <si>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</si>
  <si>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</si>
  <si>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</si>
  <si>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</si>
  <si>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</si>
  <si>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</si>
  <si>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</si>
  <si>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</si>
  <si>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</si>
  <si>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</si>
  <si>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</si>
  <si>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</si>
  <si>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</si>
  <si>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</si>
  <si>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</si>
  <si>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</si>
  <si>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</si>
  <si>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</si>
  <si>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</si>
  <si>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</si>
  <si>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</si>
  <si>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</si>
  <si>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</si>
  <si>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</si>
  <si>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</si>
  <si>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</si>
  <si>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</si>
  <si>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</si>
  <si>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</si>
  <si>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</si>
  <si>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</si>
  <si>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</si>
  <si>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</si>
  <si>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</si>
  <si>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</si>
  <si>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</si>
  <si>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</si>
  <si>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</si>
  <si>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</si>
  <si>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</si>
  <si>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</si>
  <si>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</si>
  <si>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</si>
  <si>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</si>
  <si>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</si>
  <si>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</si>
  <si>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</si>
  <si>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</si>
  <si>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</si>
  <si>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</si>
  <si>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</si>
  <si>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</si>
  <si>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</si>
  <si>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</si>
  <si>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</si>
  <si>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</si>
  <si>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</si>
  <si>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</si>
  <si>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</si>
  <si>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</si>
  <si>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</si>
  <si>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</si>
  <si>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</si>
  <si>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</si>
  <si>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</si>
  <si>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</si>
  <si>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</si>
  <si>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</si>
  <si>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</si>
  <si>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</si>
  <si>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</si>
  <si>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</si>
  <si>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</si>
  <si>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</si>
  <si>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</si>
  <si>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</si>
  <si>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</si>
  <si>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</si>
  <si>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</si>
  <si>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</si>
  <si>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</si>
  <si>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</si>
  <si>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</si>
  <si>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</si>
  <si>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</si>
  <si>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</si>
  <si>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</si>
  <si>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</si>
  <si>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</si>
  <si>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</si>
  <si>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</si>
  <si>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</si>
  <si>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</si>
  <si>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</si>
  <si>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</si>
  <si>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</si>
  <si>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</si>
  <si>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</si>
  <si>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</si>
  <si>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</si>
  <si>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</si>
  <si>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</si>
  <si>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</si>
  <si>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</si>
  <si>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</si>
  <si>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</si>
  <si>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</si>
  <si>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</si>
  <si>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</si>
  <si>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</si>
  <si>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</si>
  <si>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</si>
  <si>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</si>
  <si>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</si>
  <si>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</si>
  <si>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</si>
  <si>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</si>
  <si>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</si>
  <si>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</si>
  <si>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</si>
  <si>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</si>
  <si>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</si>
  <si>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</si>
  <si>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</si>
  <si>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</si>
  <si>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</si>
  <si>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</si>
  <si>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</si>
  <si>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</si>
  <si>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</si>
  <si>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</si>
  <si>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</si>
  <si>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</si>
  <si>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</si>
  <si>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</si>
  <si>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</si>
  <si>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</si>
  <si>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</si>
  <si>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</si>
  <si>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</si>
  <si>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</si>
  <si>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</si>
  <si>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</si>
  <si>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</si>
  <si>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</si>
  <si>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</si>
  <si>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</si>
  <si>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</si>
  <si>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</si>
  <si>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</si>
  <si>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</si>
  <si>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</si>
  <si>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</si>
  <si>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</si>
  <si>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</si>
  <si>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</si>
  <si>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</si>
  <si>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</si>
  <si>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</si>
  <si>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</si>
  <si>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</si>
  <si>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</si>
  <si>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</si>
  <si>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</si>
  <si>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</si>
  <si>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</si>
  <si>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</si>
  <si>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</si>
  <si>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</si>
  <si>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</si>
  <si>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</si>
  <si>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</si>
  <si>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</si>
  <si>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</si>
  <si>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</si>
  <si>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</si>
  <si>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</si>
  <si>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</si>
  <si>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</si>
  <si>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</si>
  <si>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</si>
  <si>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</si>
  <si>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</si>
  <si>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</si>
  <si>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</si>
  <si>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</si>
  <si>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</si>
  <si>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</si>
  <si>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</si>
  <si>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</si>
  <si>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</si>
  <si>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</si>
  <si>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</si>
  <si>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</si>
  <si>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</si>
  <si>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</si>
  <si>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</si>
  <si>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</si>
  <si>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</si>
  <si>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</si>
  <si>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</si>
  <si>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</si>
  <si>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</si>
  <si>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</si>
  <si>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</si>
  <si>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</si>
  <si>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</si>
  <si>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</si>
  <si>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</si>
  <si>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</si>
  <si>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</si>
  <si>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</si>
  <si>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</si>
  <si>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</si>
  <si>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</si>
  <si>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</si>
  <si>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</si>
  <si>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</si>
  <si>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</si>
  <si>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</si>
  <si>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</si>
  <si>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</si>
  <si>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</si>
  <si>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</si>
  <si>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</si>
  <si>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</si>
  <si>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</si>
  <si>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</si>
  <si>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</si>
  <si>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</si>
  <si>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</si>
  <si>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</si>
  <si>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</si>
  <si>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</si>
  <si>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</si>
  <si>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</si>
  <si>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</si>
  <si>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</si>
  <si>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</si>
  <si>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</si>
  <si>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</si>
  <si>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</si>
  <si>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</si>
  <si>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</si>
  <si>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</si>
  <si>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</si>
  <si>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</si>
  <si>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</si>
  <si>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</si>
  <si>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</si>
  <si>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</si>
  <si>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</si>
  <si>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</si>
  <si>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</si>
  <si>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</si>
  <si>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</si>
  <si>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</si>
  <si>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</si>
  <si>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</si>
  <si>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</si>
  <si>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</si>
  <si>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</si>
  <si>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</si>
  <si>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</si>
  <si>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</si>
  <si>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</si>
  <si>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</si>
  <si>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</si>
  <si>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</si>
  <si>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</si>
  <si>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</si>
  <si>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</si>
  <si>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</si>
  <si>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</si>
  <si>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</si>
  <si>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</si>
  <si>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</si>
  <si>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</si>
  <si>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</si>
  <si>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</si>
  <si>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</si>
  <si>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</si>
  <si>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</si>
  <si>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</si>
  <si>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</si>
  <si>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</si>
  <si>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</si>
  <si>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</si>
  <si>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</si>
  <si>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</si>
  <si>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</si>
  <si>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</si>
  <si>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</si>
  <si>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</si>
  <si>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</si>
  <si>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</si>
  <si>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</si>
  <si>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</si>
  <si>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</si>
  <si>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</si>
  <si>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</si>
  <si>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</si>
  <si>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</si>
  <si>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</si>
  <si>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</si>
  <si>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</si>
  <si>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</si>
  <si>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</si>
  <si>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</si>
  <si>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</si>
  <si>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</si>
  <si>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</si>
  <si>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</si>
  <si>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</si>
  <si>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</si>
  <si>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</si>
  <si>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</si>
  <si>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</si>
  <si>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</si>
  <si>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</si>
  <si>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</si>
  <si>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</si>
  <si>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</si>
  <si>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</si>
  <si>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</si>
  <si>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</si>
  <si>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</si>
  <si>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</si>
  <si>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</si>
  <si>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</si>
  <si>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</si>
  <si>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</si>
  <si>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</si>
  <si>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</si>
  <si>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</si>
  <si>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</si>
  <si>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</si>
  <si>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</si>
  <si>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</si>
  <si>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</si>
  <si>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</si>
  <si>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</si>
  <si>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</si>
  <si>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</si>
  <si>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</si>
  <si>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</si>
  <si>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</si>
  <si>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</si>
  <si>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</si>
  <si>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</si>
  <si>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</si>
  <si>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</si>
  <si>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</si>
  <si>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</si>
  <si>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</si>
  <si>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</si>
  <si>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</si>
  <si>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</si>
  <si>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</si>
  <si>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</si>
  <si>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</si>
  <si>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</si>
  <si>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</si>
  <si>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</si>
  <si>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</si>
  <si>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</si>
  <si>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</si>
  <si>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</si>
  <si>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</si>
  <si>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</si>
  <si>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</si>
  <si>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</si>
  <si>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</si>
  <si>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</si>
  <si>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</si>
  <si>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</si>
  <si>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</si>
  <si>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</si>
  <si>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</si>
  <si>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</si>
  <si>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</si>
  <si>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</si>
  <si>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</si>
  <si>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</si>
  <si>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</si>
  <si>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</si>
  <si>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</si>
  <si>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</si>
  <si>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</si>
  <si>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</si>
  <si>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</si>
  <si>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</si>
  <si>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</si>
  <si>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</si>
  <si>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</si>
  <si>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</si>
  <si>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</si>
  <si>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</si>
  <si>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</si>
  <si>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</si>
  <si>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</si>
  <si>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</si>
  <si>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</si>
  <si>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</si>
  <si>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</si>
  <si>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</si>
  <si>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</si>
  <si>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</si>
  <si>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</si>
  <si>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</si>
  <si>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</si>
  <si>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</si>
  <si>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</si>
  <si>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</si>
  <si>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</si>
  <si>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</si>
  <si>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</si>
  <si>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</si>
  <si>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</si>
  <si>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</si>
  <si>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</si>
  <si>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</si>
  <si>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</si>
  <si>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</si>
  <si>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</si>
  <si>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</si>
  <si>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</si>
  <si>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</si>
  <si>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</si>
  <si>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</si>
  <si>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</si>
  <si>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</si>
  <si>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</si>
  <si>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</si>
  <si>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</si>
  <si>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</si>
  <si>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</si>
  <si>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</si>
  <si>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</si>
  <si>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</si>
  <si>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</si>
  <si>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</si>
  <si>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</si>
  <si>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</si>
  <si>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</si>
  <si>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</si>
  <si>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</si>
  <si>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</si>
  <si>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</si>
  <si>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</si>
  <si>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</si>
  <si>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</si>
  <si>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</si>
  <si>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</si>
  <si>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</si>
  <si>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</si>
  <si>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</si>
  <si>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</si>
  <si>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</si>
  <si>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</si>
  <si>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</si>
  <si>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</si>
  <si>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</si>
  <si>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</si>
  <si>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</si>
  <si>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</si>
  <si>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</si>
  <si>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</si>
  <si>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</si>
  <si>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</si>
  <si>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</si>
  <si>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</si>
  <si>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</si>
  <si>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</si>
  <si>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</si>
  <si>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</si>
  <si>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</si>
  <si>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</si>
  <si>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</si>
  <si>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</si>
  <si>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</si>
  <si>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</si>
  <si>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</si>
  <si>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</si>
  <si>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</si>
  <si>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</si>
  <si>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</si>
  <si>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</si>
  <si>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</si>
  <si>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</si>
  <si>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</si>
  <si>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</si>
  <si>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</si>
  <si>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</si>
  <si>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</si>
  <si>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</si>
  <si>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</si>
  <si>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</si>
  <si>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</si>
  <si>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</si>
  <si>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</si>
  <si>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</si>
  <si>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</si>
  <si>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</si>
  <si>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</si>
  <si>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</si>
  <si>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</si>
  <si>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</si>
  <si>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</si>
  <si>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</si>
  <si>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</si>
  <si>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</si>
  <si>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</si>
  <si>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</si>
  <si>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</si>
  <si>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</si>
  <si>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</si>
  <si>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</si>
  <si>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</si>
  <si>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</si>
  <si>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</si>
  <si>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</si>
  <si>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</si>
  <si>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</si>
  <si>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</si>
  <si>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</si>
  <si>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</si>
  <si>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</si>
  <si>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</si>
  <si>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</si>
  <si>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</si>
  <si>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</si>
  <si>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</si>
  <si>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</si>
  <si>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</si>
  <si>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</si>
  <si>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</si>
  <si>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</si>
  <si>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</si>
  <si>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</si>
  <si>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</si>
  <si>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</si>
  <si>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</si>
  <si>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</si>
  <si>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</si>
  <si>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</si>
  <si>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</si>
  <si>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</si>
  <si>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</si>
  <si>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</si>
  <si>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</si>
  <si>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</si>
  <si>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</si>
  <si>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</si>
  <si>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</si>
  <si>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</si>
  <si>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</si>
  <si>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</si>
  <si>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</si>
  <si>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</si>
  <si>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</si>
  <si>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</si>
  <si>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</si>
  <si>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</si>
  <si>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</si>
  <si>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</si>
  <si>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</si>
  <si>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</si>
  <si>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</si>
  <si>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</si>
  <si>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</si>
  <si>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</si>
  <si>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</si>
  <si>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</si>
  <si>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</si>
  <si>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</si>
  <si>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</si>
  <si>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</si>
  <si>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</si>
  <si>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</si>
  <si>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</si>
  <si>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</si>
  <si>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</si>
  <si>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</si>
  <si>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</si>
  <si>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</si>
  <si>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</si>
  <si>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</si>
  <si>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</si>
  <si>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</si>
  <si>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</si>
  <si>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</si>
  <si>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</si>
  <si>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</si>
  <si>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</si>
  <si>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</si>
  <si>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</si>
  <si>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</si>
  <si>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</si>
  <si>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</si>
  <si>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</si>
  <si>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</si>
  <si>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</si>
  <si>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</si>
  <si>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</si>
  <si>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</si>
  <si>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</si>
  <si>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</si>
  <si>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</si>
  <si>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</si>
  <si>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</si>
  <si>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</si>
  <si>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</si>
  <si>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</si>
  <si>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</si>
  <si>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</si>
  <si>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</si>
  <si>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</si>
  <si>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</si>
  <si>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</si>
  <si>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</si>
  <si>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</si>
  <si>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</si>
  <si>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</si>
  <si>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</si>
  <si>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</si>
  <si>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</si>
  <si>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</si>
  <si>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</si>
  <si>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</si>
  <si>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</si>
  <si>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</si>
  <si>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</si>
  <si>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</si>
  <si>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</si>
  <si>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</si>
  <si>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</si>
  <si>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</si>
  <si>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</si>
  <si>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</si>
  <si>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</si>
  <si>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</si>
  <si>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</si>
  <si>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</si>
  <si>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</si>
  <si>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</si>
  <si>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</si>
  <si>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</si>
  <si>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</si>
  <si>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</si>
  <si>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</si>
  <si>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</si>
  <si>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</si>
  <si>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</si>
  <si>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</si>
  <si>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</si>
  <si>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</si>
  <si>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</si>
  <si>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</si>
  <si>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</si>
  <si>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</si>
  <si>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</si>
  <si>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</si>
  <si>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</si>
  <si>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</si>
  <si>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</si>
  <si>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</si>
  <si>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</si>
  <si>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</si>
  <si>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</si>
  <si>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</si>
  <si>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</si>
  <si>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</si>
  <si>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</si>
  <si>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</si>
  <si>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</si>
  <si>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</si>
  <si>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</si>
  <si>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</si>
  <si>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</si>
  <si>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</si>
  <si>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</si>
  <si>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</si>
  <si>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</si>
  <si>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</si>
  <si>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</si>
  <si>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</si>
  <si>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</si>
  <si>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</si>
  <si>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</si>
  <si>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</si>
  <si>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</si>
  <si>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</si>
  <si>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</si>
  <si>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</si>
  <si>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</si>
  <si>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</si>
  <si>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</si>
  <si>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</si>
  <si>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</si>
  <si>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</si>
  <si>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</si>
  <si>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</si>
  <si>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</si>
  <si>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</si>
  <si>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</si>
  <si>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</si>
  <si>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</si>
  <si>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</si>
  <si>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</si>
  <si>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</si>
  <si>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</si>
  <si>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</si>
  <si>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</si>
  <si>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</si>
  <si>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</si>
  <si>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</si>
  <si>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</si>
  <si>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</si>
  <si>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</si>
  <si>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</si>
  <si>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</si>
  <si>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</si>
  <si>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</si>
  <si>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</si>
  <si>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</si>
  <si>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</si>
  <si>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</si>
  <si>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</si>
  <si>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</si>
  <si>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</si>
  <si>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</si>
  <si>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</si>
  <si>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</si>
  <si>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</si>
  <si>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</si>
  <si>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</si>
  <si>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</si>
  <si>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</si>
  <si>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</si>
  <si>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</si>
  <si>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</si>
  <si>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</si>
  <si>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</si>
  <si>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</si>
  <si>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</si>
  <si>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</si>
  <si>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</si>
  <si>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</si>
  <si>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</si>
  <si>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</si>
  <si>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</si>
  <si>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</si>
  <si>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</si>
  <si>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</si>
  <si>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</si>
  <si>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</si>
  <si>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</si>
  <si>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</si>
  <si>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</si>
  <si>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</si>
  <si>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</si>
  <si>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</si>
  <si>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</si>
  <si>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</si>
  <si>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</si>
  <si>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</si>
  <si>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</si>
  <si>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</si>
  <si>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</si>
  <si>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</si>
  <si>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</si>
  <si>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</si>
  <si>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</si>
  <si>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</si>
  <si>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</si>
  <si>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</si>
  <si>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</si>
  <si>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</si>
  <si>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</si>
  <si>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</si>
  <si>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</si>
  <si>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</si>
  <si>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</si>
  <si>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</si>
  <si>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</si>
  <si>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</si>
  <si>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</si>
  <si>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</si>
  <si>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</si>
  <si>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</si>
  <si>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</si>
  <si>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</si>
  <si>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</si>
  <si>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</si>
  <si>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</si>
  <si>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</si>
  <si>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</si>
  <si>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</si>
  <si>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</si>
  <si>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</si>
  <si>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</si>
  <si>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</si>
  <si>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</si>
  <si>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</si>
  <si>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</si>
  <si>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</si>
  <si>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</si>
  <si>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</si>
  <si>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</si>
  <si>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</si>
  <si>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</si>
  <si>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</si>
  <si>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</si>
  <si>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</si>
  <si>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</si>
  <si>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</si>
  <si>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</si>
  <si>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</si>
  <si>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</si>
  <si>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</si>
  <si>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</si>
  <si>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</si>
  <si>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</si>
  <si>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</si>
  <si>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</si>
  <si>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</si>
  <si>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</si>
  <si>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</si>
  <si>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</si>
  <si>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</si>
  <si>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</si>
  <si>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</si>
  <si>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</si>
  <si>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</si>
  <si>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</si>
  <si>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</si>
  <si>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</si>
  <si>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</si>
  <si>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</si>
  <si>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</si>
  <si>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</si>
  <si>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</si>
  <si>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</si>
  <si>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</si>
  <si>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</si>
  <si>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</si>
  <si>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</si>
  <si>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</si>
  <si>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</si>
  <si>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</si>
  <si>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</si>
  <si>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</si>
  <si>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</si>
  <si>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</si>
  <si>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</si>
  <si>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</si>
  <si>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</si>
  <si>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</si>
  <si>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</si>
  <si>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</si>
  <si>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</si>
  <si>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</si>
  <si>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</si>
  <si>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</si>
  <si>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</si>
  <si>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</si>
  <si>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</si>
  <si>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</si>
  <si>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</si>
  <si>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</si>
  <si>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</si>
  <si>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</si>
  <si>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</si>
  <si>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</si>
  <si>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</si>
  <si>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</si>
  <si>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</si>
  <si>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</si>
  <si>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</si>
  <si>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</si>
  <si>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</si>
  <si>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</si>
  <si>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</si>
  <si>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</si>
  <si>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</si>
  <si>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</si>
  <si>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</si>
  <si>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</si>
  <si>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</si>
  <si>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</si>
  <si>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</si>
  <si>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</si>
  <si>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</si>
  <si>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</si>
  <si>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</si>
  <si>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</si>
  <si>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</si>
  <si>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</si>
  <si>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</si>
  <si>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</si>
  <si>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</si>
  <si>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</si>
  <si>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</si>
  <si>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</si>
  <si>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</si>
  <si>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</si>
  <si>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</si>
  <si>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</si>
  <si>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</si>
  <si>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</si>
  <si>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</si>
  <si>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</si>
  <si>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</si>
  <si>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</si>
  <si>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</si>
  <si>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</si>
  <si>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</si>
  <si>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</si>
  <si>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</si>
  <si>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</si>
  <si>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</si>
  <si>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</si>
  <si>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</si>
  <si>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</si>
  <si>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</si>
  <si>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</si>
  <si>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</si>
  <si>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</si>
  <si>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</si>
  <si>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</si>
  <si>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</si>
  <si>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</si>
  <si>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</si>
  <si>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</si>
  <si>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</si>
  <si>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</si>
  <si>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</si>
  <si>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</si>
  <si>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</si>
  <si>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</si>
  <si>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</si>
  <si>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</si>
  <si>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</si>
  <si>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</si>
  <si>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</si>
  <si>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</si>
  <si>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</si>
  <si>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</si>
  <si>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</si>
  <si>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</si>
  <si>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</si>
  <si>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</si>
  <si>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</si>
  <si>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</si>
  <si>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</si>
  <si>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</si>
  <si>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</si>
  <si>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</si>
  <si>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</si>
  <si>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</si>
  <si>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</si>
  <si>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</si>
  <si>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</si>
  <si>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</si>
  <si>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</si>
  <si>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</si>
  <si>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</si>
  <si>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</si>
  <si>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</si>
  <si>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</si>
  <si>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</si>
  <si>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</si>
  <si>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</si>
  <si>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</si>
  <si>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</si>
  <si>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</si>
  <si>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</si>
  <si>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</si>
  <si>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</si>
  <si>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</si>
  <si>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</si>
  <si>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</si>
  <si>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</si>
  <si>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</si>
  <si>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</si>
  <si>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</si>
  <si>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</si>
  <si>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</si>
  <si>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</si>
  <si>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</si>
  <si>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</si>
  <si>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</si>
  <si>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</si>
  <si>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</si>
  <si>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</si>
  <si>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</si>
  <si>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</si>
  <si>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</si>
  <si>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</si>
  <si>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</si>
  <si>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</si>
  <si>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</si>
  <si>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</si>
  <si>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</si>
  <si>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</si>
  <si>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</si>
  <si>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</si>
  <si>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</si>
  <si>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</si>
  <si>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</si>
  <si>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</si>
  <si>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</si>
  <si>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</si>
  <si>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</si>
  <si>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</si>
  <si>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</si>
  <si>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</si>
  <si>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</si>
  <si>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</si>
  <si>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</si>
  <si>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</si>
  <si>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</si>
  <si>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</si>
  <si>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</si>
  <si>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</si>
  <si>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</si>
  <si>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</si>
  <si>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</si>
  <si>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</si>
  <si>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</si>
  <si>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</si>
  <si>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</si>
  <si>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</si>
  <si>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</si>
  <si>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</si>
  <si>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</si>
  <si>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</si>
  <si>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</si>
  <si>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</si>
  <si>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</si>
  <si>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</si>
  <si>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</si>
  <si>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</si>
  <si>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</si>
  <si>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</si>
  <si>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</si>
  <si>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</si>
  <si>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</si>
  <si>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</si>
  <si>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</si>
  <si>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</si>
  <si>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</si>
  <si>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</si>
  <si>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</si>
  <si>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</si>
  <si>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</si>
  <si>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</si>
  <si>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</si>
  <si>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</si>
  <si>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</si>
  <si>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</si>
  <si>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</si>
  <si>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</si>
  <si>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</si>
  <si>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</si>
  <si>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</si>
  <si>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</si>
  <si>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</si>
  <si>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</si>
  <si>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</si>
  <si>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</si>
  <si>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</si>
  <si>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</si>
  <si>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</si>
  <si>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</si>
  <si>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</si>
  <si>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</si>
  <si>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</si>
  <si>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</si>
  <si>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</si>
  <si>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</si>
  <si>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</si>
  <si>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</si>
  <si>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</si>
  <si>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</si>
  <si>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</si>
  <si>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</si>
  <si>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</si>
  <si>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</si>
  <si>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</si>
  <si>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</si>
  <si>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</si>
  <si>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</si>
  <si>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</si>
  <si>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</si>
  <si>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</si>
  <si>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</si>
  <si>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</si>
  <si>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</si>
  <si>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</si>
  <si>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</si>
  <si>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</si>
  <si>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</si>
  <si>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</si>
  <si>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</si>
  <si>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</si>
  <si>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</si>
  <si>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</si>
  <si>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</si>
  <si>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</si>
  <si>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</si>
  <si>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</si>
  <si>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</si>
  <si>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</si>
  <si>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</si>
  <si>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</si>
  <si>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</si>
  <si>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</si>
  <si>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</si>
  <si>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</si>
  <si>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</si>
  <si>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</si>
  <si>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</si>
  <si>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</si>
  <si>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</si>
  <si>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</si>
  <si>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</si>
  <si>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</si>
  <si>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</si>
  <si>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</si>
  <si>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</si>
  <si>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</si>
  <si>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</si>
  <si>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</si>
  <si>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</si>
  <si>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</si>
  <si>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</si>
  <si>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</si>
  <si>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</si>
  <si>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</si>
  <si>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</si>
  <si>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</si>
  <si>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</si>
  <si>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</si>
  <si>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</si>
  <si>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</si>
  <si>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</si>
  <si>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</si>
  <si>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</si>
  <si>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</si>
  <si>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</si>
  <si>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</si>
  <si>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</si>
  <si>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</si>
  <si>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</si>
  <si>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</si>
  <si>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</si>
  <si>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</si>
  <si>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</si>
  <si>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</si>
  <si>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</si>
  <si>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</si>
  <si>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</si>
  <si>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</si>
  <si>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</si>
  <si>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</si>
  <si>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</si>
  <si>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</si>
  <si>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</si>
  <si>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</si>
  <si>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</si>
  <si>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</si>
  <si>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</si>
  <si>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</si>
  <si>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</si>
  <si>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</si>
  <si>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</si>
  <si>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</si>
  <si>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</si>
  <si>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</si>
  <si>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</si>
  <si>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</si>
  <si>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</si>
  <si>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</si>
  <si>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</si>
  <si>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</si>
  <si>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</si>
  <si>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</si>
  <si>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</si>
  <si>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</si>
  <si>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</si>
  <si>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</si>
  <si>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</si>
  <si>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</si>
  <si>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</si>
  <si>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</si>
  <si>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</si>
  <si>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</si>
  <si>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</si>
  <si>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</si>
  <si>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</si>
  <si>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</si>
  <si>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</si>
  <si>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</si>
  <si>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</si>
  <si>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</si>
  <si>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</si>
  <si>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</si>
  <si>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</si>
  <si>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</si>
  <si>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</si>
  <si>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</si>
  <si>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</si>
  <si>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</si>
  <si>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</si>
  <si>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</si>
  <si>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</si>
  <si>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</si>
  <si>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</si>
  <si>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</si>
  <si>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</si>
  <si>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</si>
  <si>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</si>
  <si>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</si>
  <si>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</si>
  <si>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</si>
  <si>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</si>
  <si>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</si>
  <si>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</si>
  <si>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</si>
  <si>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</si>
  <si>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</si>
  <si>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</si>
  <si>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</si>
  <si>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</si>
  <si>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</si>
  <si>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</si>
  <si>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</si>
  <si>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</si>
  <si>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</si>
  <si>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</si>
  <si>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</si>
  <si>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</si>
  <si>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</si>
  <si>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</si>
  <si>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</si>
  <si>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</si>
  <si>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</si>
  <si>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</si>
  <si>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</si>
  <si>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</si>
  <si>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</si>
  <si>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</si>
  <si>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</si>
  <si>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</si>
  <si>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</si>
  <si>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</si>
  <si>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</si>
  <si>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</si>
  <si>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</si>
  <si>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</si>
  <si>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</si>
  <si>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</si>
  <si>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</si>
  <si>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</si>
  <si>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</si>
  <si>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</si>
  <si>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</si>
  <si>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</si>
  <si>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</si>
  <si>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</si>
  <si>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</si>
  <si>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</si>
  <si>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</si>
  <si>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</si>
  <si>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</si>
  <si>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</si>
  <si>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</si>
  <si>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</si>
  <si>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</si>
  <si>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</si>
  <si>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</si>
  <si>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</si>
  <si>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</si>
  <si>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</si>
  <si>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</si>
  <si>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</si>
  <si>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</si>
  <si>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</si>
  <si>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</si>
  <si>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</si>
  <si>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</si>
  <si>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</si>
  <si>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</si>
  <si>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</si>
  <si>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</si>
  <si>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</si>
  <si>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</si>
  <si>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</si>
  <si>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</si>
  <si>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</si>
  <si>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</si>
  <si>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</si>
  <si>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</si>
  <si>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</si>
  <si>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</si>
  <si>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</si>
  <si>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</si>
  <si>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</si>
  <si>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</si>
  <si>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</si>
  <si>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</si>
  <si>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</si>
  <si>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</si>
  <si>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</si>
  <si>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</si>
  <si>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</si>
  <si>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</si>
  <si>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</si>
  <si>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</si>
  <si>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</si>
  <si>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</si>
  <si>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</si>
  <si>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</si>
  <si>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</si>
  <si>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</si>
  <si>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</si>
  <si>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</si>
  <si>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</si>
  <si>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</si>
  <si>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</si>
  <si>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</si>
  <si>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</si>
  <si>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</si>
  <si>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</si>
  <si>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</si>
  <si>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</si>
  <si>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</si>
  <si>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</si>
  <si>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</si>
  <si>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</si>
  <si>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</si>
  <si>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</si>
  <si>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</si>
  <si>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</si>
  <si>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</si>
  <si>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</si>
  <si>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</si>
  <si>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</si>
  <si>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</si>
  <si>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</si>
  <si>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</si>
  <si>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</si>
  <si>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</si>
  <si>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</si>
  <si>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</si>
  <si>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</si>
  <si>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</si>
  <si>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</si>
  <si>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</si>
  <si>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</si>
  <si>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</si>
  <si>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</si>
  <si>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</si>
  <si>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</si>
  <si>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</si>
  <si>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</si>
  <si>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</si>
  <si>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</si>
  <si>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</si>
  <si>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</si>
  <si>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</si>
  <si>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</si>
  <si>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</si>
  <si>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</si>
  <si>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</si>
  <si>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</si>
  <si>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</si>
  <si>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</si>
  <si>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</si>
  <si>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</si>
  <si>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</si>
  <si>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</si>
  <si>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</si>
  <si>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</si>
  <si>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</si>
  <si>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</si>
  <si>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</si>
  <si>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</si>
  <si>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</si>
  <si>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</si>
  <si>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</si>
  <si>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</si>
  <si>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</si>
  <si>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</si>
  <si>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</si>
  <si>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</si>
  <si>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</si>
  <si>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</si>
  <si>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</si>
  <si>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</si>
  <si>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</si>
  <si>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</si>
  <si>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</si>
  <si>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</si>
  <si>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</si>
  <si>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</si>
  <si>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</si>
  <si>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</si>
  <si>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</si>
  <si>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</si>
  <si>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</si>
  <si>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</si>
  <si>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</si>
  <si>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</si>
  <si>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</si>
  <si>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</si>
  <si>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</si>
  <si>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</si>
  <si>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</si>
  <si>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</si>
  <si>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</si>
  <si>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</si>
  <si>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</si>
  <si>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</si>
  <si>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</si>
  <si>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</si>
  <si>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</si>
  <si>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</si>
  <si>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</si>
  <si>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</si>
  <si>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</si>
  <si>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</si>
  <si>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</si>
  <si>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</si>
  <si>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</si>
  <si>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</si>
  <si>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</si>
  <si>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</si>
  <si>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</si>
  <si>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</si>
  <si>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</si>
  <si>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</si>
  <si>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</si>
  <si>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</si>
  <si>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</si>
  <si>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</si>
  <si>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</si>
  <si>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</si>
  <si>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</si>
  <si>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</si>
  <si>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</si>
  <si>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</si>
  <si>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</si>
  <si>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</si>
  <si>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</si>
  <si>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</si>
  <si>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</si>
  <si>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</si>
  <si>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</si>
  <si>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</si>
  <si>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</si>
  <si>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</si>
  <si>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</si>
  <si>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</si>
  <si>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</si>
  <si>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</si>
  <si>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</si>
  <si>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</si>
  <si>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</si>
  <si>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</si>
  <si>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</si>
  <si>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</si>
  <si>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</si>
  <si>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</si>
  <si>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</si>
  <si>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</si>
  <si>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</si>
  <si>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</si>
  <si>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</si>
  <si>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</si>
  <si>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</si>
  <si>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</si>
  <si>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</si>
  <si>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</si>
  <si>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</si>
  <si>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</si>
  <si>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</si>
  <si>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</si>
  <si>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</si>
  <si>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</si>
  <si>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</si>
  <si>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</si>
  <si>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</si>
  <si>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</si>
  <si>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</si>
  <si>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</si>
  <si>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</si>
  <si>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</si>
  <si>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</si>
  <si>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</si>
  <si>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</si>
  <si>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</si>
  <si>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</si>
  <si>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</si>
  <si>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</si>
  <si>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</si>
  <si>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</si>
  <si>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</si>
  <si>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</si>
  <si>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</si>
  <si>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</si>
  <si>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</si>
  <si>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</si>
  <si>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</si>
  <si>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</si>
  <si>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</si>
  <si>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</si>
  <si>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</si>
  <si>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</si>
  <si>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</si>
  <si>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</si>
  <si>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</si>
  <si>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</si>
  <si>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</si>
  <si>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</si>
  <si>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</si>
  <si>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</si>
  <si>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</si>
  <si>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</si>
  <si>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</si>
  <si>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</si>
  <si>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</si>
  <si>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</si>
  <si>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</si>
  <si>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</si>
  <si>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</si>
  <si>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</si>
  <si>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</si>
  <si>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</si>
  <si>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</si>
  <si>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</si>
  <si>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</si>
  <si>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</si>
  <si>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</si>
  <si>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</si>
  <si>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</si>
  <si>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</si>
  <si>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</si>
  <si>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</si>
  <si>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</si>
  <si>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</si>
  <si>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</si>
  <si>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</si>
  <si>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</si>
  <si>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</si>
  <si>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</si>
  <si>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</si>
  <si>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</si>
  <si>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</si>
  <si>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</si>
  <si>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</si>
  <si>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</si>
  <si>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</si>
  <si>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</si>
  <si>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</si>
  <si>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</si>
  <si>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</si>
  <si>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</si>
  <si>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</si>
  <si>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</si>
  <si>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</si>
  <si>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</si>
  <si>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</si>
  <si>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</si>
  <si>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</si>
  <si>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</si>
  <si>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</si>
  <si>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</si>
  <si>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</si>
  <si>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</si>
  <si>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</si>
  <si>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</si>
  <si>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</si>
  <si>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</si>
  <si>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</si>
  <si>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</si>
  <si>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</si>
  <si>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</si>
  <si>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</si>
  <si>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</si>
  <si>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</si>
  <si>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</si>
  <si>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</si>
  <si>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</si>
  <si>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</si>
  <si>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</si>
  <si>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</si>
  <si>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</si>
  <si>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</si>
  <si>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</si>
  <si>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</si>
  <si>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</si>
  <si>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</si>
  <si>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</si>
  <si>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</si>
  <si>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</si>
  <si>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</si>
  <si>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</si>
  <si>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</si>
  <si>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</si>
  <si>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</si>
  <si>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</si>
  <si>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</si>
  <si>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</si>
  <si>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</si>
  <si>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</si>
  <si>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</si>
  <si>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</si>
  <si>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</si>
  <si>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</si>
  <si>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</si>
  <si>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</si>
  <si>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</si>
  <si>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</si>
  <si>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</si>
  <si>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</si>
  <si>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</si>
  <si>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</si>
  <si>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</si>
  <si>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</si>
  <si>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</si>
  <si>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</si>
  <si>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</si>
  <si>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</si>
  <si>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</si>
  <si>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</si>
  <si>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</si>
  <si>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</si>
  <si>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</si>
  <si>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</si>
  <si>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</si>
  <si>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</si>
  <si>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</si>
  <si>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</si>
  <si>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</si>
  <si>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</si>
  <si>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</si>
  <si>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</si>
  <si>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</si>
  <si>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</si>
  <si>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</si>
  <si>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</si>
  <si>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</si>
  <si>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</si>
  <si>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</si>
  <si>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</si>
  <si>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</si>
  <si>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</si>
  <si>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</si>
  <si>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</si>
  <si>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</si>
  <si>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</si>
  <si>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</si>
  <si>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</si>
  <si>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</si>
  <si>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</si>
  <si>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</si>
  <si>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</si>
  <si>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</si>
  <si>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</si>
  <si>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</si>
  <si>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</si>
  <si>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</si>
  <si>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</si>
  <si>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</si>
  <si>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</si>
  <si>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</si>
  <si>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</si>
  <si>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</si>
  <si>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</si>
  <si>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</si>
  <si>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</si>
  <si>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</si>
  <si>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</si>
  <si>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</si>
  <si>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</si>
  <si>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</si>
  <si>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</si>
  <si>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</si>
  <si>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</si>
  <si>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</si>
  <si>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</si>
  <si>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</si>
  <si>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</si>
  <si>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</si>
  <si>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</si>
  <si>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</si>
  <si>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</si>
  <si>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</si>
  <si>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</si>
  <si>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</si>
  <si>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</si>
  <si>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</si>
  <si>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</si>
  <si>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</si>
  <si>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</si>
  <si>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</si>
  <si>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</si>
  <si>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</si>
  <si>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</si>
  <si>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</si>
  <si>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</si>
  <si>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</si>
  <si>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</si>
  <si>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</si>
  <si>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</si>
  <si>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</si>
  <si>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</si>
  <si>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</si>
  <si>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</si>
  <si>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</si>
  <si>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</si>
  <si>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</si>
  <si>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</si>
  <si>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</si>
  <si>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</si>
  <si>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</si>
  <si>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</si>
  <si>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</si>
  <si>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</si>
  <si>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</si>
  <si>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</si>
  <si>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</si>
  <si>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</si>
  <si>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</si>
  <si>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</si>
  <si>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</si>
  <si>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</si>
  <si>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</si>
  <si>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</si>
  <si>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</si>
  <si>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</si>
  <si>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</si>
  <si>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</si>
  <si>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</si>
  <si>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</si>
  <si>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</si>
  <si>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</si>
  <si>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</si>
  <si>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</si>
  <si>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</si>
  <si>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</si>
  <si>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</si>
  <si>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</si>
  <si>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</si>
  <si>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</si>
  <si>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</si>
  <si>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</si>
  <si>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</si>
  <si>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</si>
  <si>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</si>
  <si>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</si>
  <si>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</si>
  <si>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</si>
  <si>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</si>
  <si>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</si>
  <si>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</si>
  <si>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</si>
  <si>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</si>
  <si>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</si>
  <si>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</si>
  <si>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</si>
  <si>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</si>
  <si>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</si>
  <si>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</si>
  <si>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</si>
  <si>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</si>
  <si>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</si>
  <si>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</si>
  <si>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</si>
  <si>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</si>
  <si>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</si>
  <si>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</si>
  <si>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</si>
  <si>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</si>
  <si>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</si>
  <si>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</si>
  <si>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</si>
  <si>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</si>
  <si>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</si>
  <si>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</si>
  <si>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</si>
  <si>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</si>
  <si>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</si>
  <si>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</si>
  <si>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</si>
  <si>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</si>
  <si>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</si>
  <si>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</si>
  <si>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</si>
  <si>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</si>
  <si>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</si>
  <si>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</si>
  <si>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</si>
  <si>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</si>
  <si>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</si>
  <si>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</si>
  <si>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</si>
  <si>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</si>
  <si>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</si>
  <si>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</si>
  <si>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</si>
  <si>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</si>
  <si>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</si>
  <si>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</si>
  <si>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</si>
  <si>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</si>
  <si>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</si>
  <si>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</si>
  <si>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</si>
  <si>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</si>
  <si>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</si>
  <si>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</si>
  <si>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</si>
  <si>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</si>
  <si>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</si>
  <si>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</si>
  <si>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</si>
  <si>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</si>
  <si>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</si>
  <si>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</si>
  <si>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</si>
  <si>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</si>
  <si>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</si>
  <si>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</si>
  <si>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</si>
  <si>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</si>
  <si>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</si>
  <si>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</si>
  <si>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</si>
  <si>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</si>
  <si>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</si>
  <si>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</si>
  <si>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</si>
  <si>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</si>
  <si>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</si>
  <si>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</si>
  <si>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</si>
  <si>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</si>
  <si>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</si>
  <si>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</si>
  <si>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</si>
  <si>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</si>
  <si>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</si>
  <si>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</si>
  <si>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</si>
  <si>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</si>
  <si>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</si>
  <si>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</si>
  <si>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</si>
  <si>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</si>
  <si>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</si>
  <si>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</si>
  <si>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</si>
  <si>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</si>
  <si>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</si>
  <si>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</si>
  <si>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</si>
  <si>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</si>
  <si>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</si>
  <si>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</si>
  <si>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</si>
  <si>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</si>
  <si>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</si>
  <si>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</si>
  <si>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</si>
  <si>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</si>
  <si>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</si>
  <si>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</si>
  <si>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</si>
  <si>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</si>
  <si>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</si>
  <si>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</si>
  <si>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</si>
  <si>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</si>
  <si>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</si>
  <si>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</si>
  <si>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</si>
  <si>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</si>
  <si>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</si>
  <si>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</si>
  <si>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</si>
  <si>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</si>
  <si>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</si>
  <si>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</si>
  <si>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</si>
  <si>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</si>
  <si>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</si>
  <si>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</si>
  <si>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</si>
  <si>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</si>
  <si>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</si>
  <si>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</si>
  <si>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</si>
  <si>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</si>
  <si>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</si>
  <si>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</si>
  <si>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</si>
  <si>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</si>
  <si>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</si>
  <si>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</si>
  <si>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</si>
  <si>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</si>
  <si>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</si>
  <si>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</si>
  <si>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</si>
  <si>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</si>
  <si>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</si>
  <si>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</si>
  <si>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</si>
  <si>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</si>
  <si>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</si>
  <si>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</si>
  <si>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</si>
  <si>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</si>
  <si>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</si>
  <si>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</si>
  <si>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</si>
  <si>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</si>
  <si>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</si>
  <si>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</si>
  <si>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</si>
  <si>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</si>
  <si>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</si>
  <si>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</si>
  <si>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</si>
  <si>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</si>
  <si>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</si>
  <si>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</si>
  <si>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</si>
  <si>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</si>
  <si>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</si>
  <si>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</si>
  <si>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</si>
  <si>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</si>
  <si>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</si>
  <si>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</si>
  <si>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</si>
  <si>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</si>
  <si>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</si>
  <si>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</si>
  <si>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</si>
  <si>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</si>
  <si>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</si>
  <si>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</si>
  <si>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</si>
  <si>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</si>
  <si>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</si>
  <si>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</si>
  <si>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</si>
  <si>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</si>
  <si>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</si>
  <si>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</si>
  <si>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</si>
  <si>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</si>
  <si>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</si>
  <si>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</si>
  <si>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</si>
  <si>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</si>
  <si>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</si>
  <si>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</si>
  <si>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</si>
  <si>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</si>
  <si>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</si>
  <si>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</si>
  <si>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</si>
  <si>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</si>
  <si>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</si>
  <si>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</si>
  <si>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</si>
  <si>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</si>
  <si>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</si>
  <si>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</si>
  <si>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</si>
  <si>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</si>
  <si>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</si>
  <si>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</si>
  <si>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</si>
  <si>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</si>
  <si>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</si>
  <si>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</si>
  <si>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</si>
  <si>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</si>
  <si>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</si>
  <si>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</si>
  <si>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</si>
  <si>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</si>
  <si>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</si>
  <si>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</si>
  <si>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</si>
  <si>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</si>
  <si>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</si>
  <si>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</si>
  <si>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</si>
  <si>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</si>
  <si>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</si>
  <si>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</si>
  <si>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</si>
  <si>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</si>
  <si>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</si>
  <si>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</si>
  <si>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</si>
  <si>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</si>
  <si>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</si>
  <si>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</si>
  <si>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</si>
  <si>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</si>
  <si>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</si>
  <si>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</si>
  <si>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</si>
  <si>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</si>
  <si>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</si>
  <si>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</si>
  <si>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</si>
  <si>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</si>
  <si>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</si>
  <si>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</si>
  <si>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</si>
  <si>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</si>
  <si>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</si>
  <si>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</si>
  <si>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</si>
  <si>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</si>
  <si>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</si>
  <si>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</si>
  <si>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</si>
  <si>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</si>
  <si>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</si>
  <si>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</si>
  <si>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</si>
  <si>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</si>
  <si>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</si>
  <si>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</si>
  <si>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</si>
  <si>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</si>
  <si>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</si>
  <si>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</si>
  <si>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</si>
  <si>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</si>
  <si>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</si>
  <si>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</si>
  <si>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</si>
  <si>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</si>
  <si>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</si>
  <si>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</si>
  <si>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</si>
  <si>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</si>
  <si>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</si>
  <si>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</si>
  <si>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</si>
  <si>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</si>
  <si>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</si>
  <si>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</si>
  <si>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</si>
  <si>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</si>
  <si>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</si>
  <si>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</si>
  <si>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</si>
  <si>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</si>
  <si>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</si>
  <si>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</si>
  <si>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</si>
  <si>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</si>
  <si>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</si>
  <si>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</si>
  <si>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</si>
  <si>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</si>
  <si>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</si>
  <si>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</si>
  <si>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</si>
  <si>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</si>
  <si>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</si>
  <si>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</si>
  <si>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</si>
  <si>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</si>
  <si>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</si>
  <si>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</si>
  <si>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</si>
  <si>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</si>
  <si>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</si>
  <si>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</si>
  <si>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</si>
  <si>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</si>
  <si>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</si>
  <si>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</si>
  <si>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</si>
  <si>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</si>
  <si>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</si>
  <si>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</si>
  <si>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</si>
  <si>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</si>
  <si>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</si>
  <si>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</si>
  <si>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</si>
  <si>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</si>
  <si>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</si>
  <si>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</si>
  <si>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</si>
  <si>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</si>
  <si>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</si>
  <si>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</si>
  <si>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</si>
  <si>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</si>
  <si>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</si>
  <si>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</si>
  <si>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</si>
  <si>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</si>
  <si>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</si>
  <si>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</si>
  <si>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</si>
  <si>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</si>
  <si>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</si>
  <si>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</si>
  <si>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</si>
  <si>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</si>
  <si>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</si>
  <si>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</si>
  <si>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</si>
  <si>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</si>
  <si>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</si>
  <si>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</si>
  <si>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</si>
  <si>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</si>
  <si>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</si>
  <si>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</si>
  <si>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</si>
  <si>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</si>
  <si>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</si>
  <si>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</si>
  <si>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</si>
  <si>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</si>
  <si>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</si>
  <si>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</si>
  <si>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</si>
  <si>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</si>
  <si>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</si>
  <si>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</si>
  <si>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</si>
  <si>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</si>
  <si>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</si>
  <si>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</si>
  <si>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</si>
  <si>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</si>
  <si>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</si>
  <si>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</si>
  <si>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</si>
  <si>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</si>
  <si>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</si>
  <si>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</si>
  <si>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</si>
  <si>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</si>
  <si>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</si>
  <si>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</si>
  <si>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</si>
  <si>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</si>
  <si>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</si>
  <si>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</si>
  <si>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</si>
  <si>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</si>
  <si>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</si>
  <si>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</si>
  <si>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</si>
  <si>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</si>
  <si>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</si>
  <si>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</si>
  <si>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</si>
  <si>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</si>
  <si>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</si>
  <si>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</si>
  <si>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</si>
  <si>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</si>
  <si>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</si>
  <si>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</si>
  <si>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</si>
  <si>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</si>
  <si>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</si>
  <si>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</si>
  <si>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</si>
  <si>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</si>
  <si>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</si>
  <si>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</si>
  <si>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</si>
  <si>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</si>
  <si>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</si>
  <si>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</si>
  <si>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</si>
  <si>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</si>
  <si>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</si>
  <si>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</si>
  <si>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</si>
  <si>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</si>
  <si>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</si>
  <si>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</si>
  <si>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</si>
  <si>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</si>
  <si>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</si>
  <si>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</si>
  <si>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</si>
  <si>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</si>
  <si>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</si>
  <si>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</si>
  <si>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</si>
  <si>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</si>
  <si>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</si>
  <si>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</si>
  <si>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</si>
  <si>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</si>
  <si>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</si>
  <si>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</si>
  <si>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</si>
  <si>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</si>
  <si>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</si>
  <si>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</si>
  <si>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</si>
  <si>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</si>
  <si>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</si>
  <si>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</si>
  <si>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</si>
  <si>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</si>
  <si>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</si>
  <si>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</si>
  <si>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</si>
  <si>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</si>
  <si>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</si>
  <si>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</si>
  <si>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</si>
  <si>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</si>
  <si>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</si>
  <si>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</si>
  <si>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</si>
  <si>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</si>
  <si>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</si>
  <si>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</si>
  <si>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</si>
  <si>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</si>
  <si>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</si>
  <si>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</si>
  <si>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</si>
  <si>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</si>
  <si>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</si>
  <si>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</si>
  <si>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</si>
  <si>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</si>
  <si>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</si>
  <si>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</si>
  <si>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</si>
  <si>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</si>
  <si>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</si>
  <si>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</si>
  <si>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</si>
  <si>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</si>
  <si>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</si>
  <si>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</si>
  <si>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</si>
  <si>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</si>
  <si>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</si>
  <si>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</si>
  <si>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</si>
  <si>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</si>
  <si>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</si>
  <si>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</si>
  <si>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</si>
  <si>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</si>
  <si>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</si>
  <si>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</si>
  <si>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</si>
  <si>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</si>
  <si>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</si>
  <si>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</si>
  <si>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</si>
  <si>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</si>
  <si>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</si>
  <si>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</si>
  <si>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</si>
  <si>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</si>
  <si>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</si>
  <si>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</si>
  <si>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</si>
  <si>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</si>
  <si>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</si>
  <si>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</si>
  <si>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</si>
  <si>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</si>
  <si>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</si>
  <si>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</si>
  <si>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</si>
  <si>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</si>
  <si>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</si>
  <si>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</si>
  <si>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</si>
  <si>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</si>
  <si>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</si>
  <si>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</si>
  <si>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</si>
  <si>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</si>
  <si>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</si>
  <si>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</si>
  <si>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</si>
  <si>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</si>
  <si>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</si>
  <si>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</si>
  <si>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</si>
  <si>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</si>
  <si>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</si>
  <si>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</si>
  <si>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</si>
  <si>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</si>
  <si>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</si>
  <si>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</si>
  <si>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</si>
  <si>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</si>
  <si>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</si>
  <si>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</si>
  <si>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</si>
  <si>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</si>
  <si>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</si>
  <si>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</si>
  <si>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</si>
  <si>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</si>
  <si>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</si>
  <si>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</si>
  <si>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</si>
  <si>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</si>
  <si>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</si>
  <si>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</si>
  <si>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</si>
  <si>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</si>
  <si>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</si>
  <si>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</si>
  <si>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</si>
  <si>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</si>
  <si>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</si>
  <si>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</si>
  <si>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</si>
  <si>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</si>
  <si>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</si>
  <si>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</si>
  <si>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</si>
  <si>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</si>
  <si>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</si>
  <si>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</si>
  <si>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</si>
  <si>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</si>
  <si>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</si>
  <si>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</si>
  <si>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</si>
  <si>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</si>
  <si>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</si>
  <si>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</si>
  <si>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</si>
  <si>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</si>
  <si>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</si>
  <si>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</si>
  <si>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</si>
  <si>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</si>
  <si>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</si>
  <si>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</si>
  <si>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</si>
  <si>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</si>
  <si>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</si>
  <si>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</si>
  <si>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</si>
  <si>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</si>
  <si>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</si>
  <si>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</si>
  <si>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</si>
  <si>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</si>
  <si>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</si>
  <si>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</si>
  <si>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</si>
  <si>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</si>
  <si>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</si>
  <si>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</si>
  <si>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</si>
  <si>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</si>
  <si>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</si>
  <si>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</si>
  <si>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</si>
  <si>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</si>
  <si>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</si>
  <si>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</si>
  <si>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</si>
  <si>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</si>
  <si>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</si>
  <si>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</si>
  <si>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</si>
  <si>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</si>
  <si>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</si>
  <si>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</si>
  <si>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</si>
  <si>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</si>
  <si>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</si>
  <si>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</si>
  <si>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</si>
  <si>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</si>
  <si>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</si>
  <si>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</si>
  <si>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</si>
  <si>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</si>
  <si>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</si>
  <si>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</si>
  <si>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</si>
  <si>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</si>
  <si>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</si>
  <si>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</si>
  <si>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</si>
  <si>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</si>
  <si>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</si>
  <si>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</si>
  <si>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</si>
  <si>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</si>
  <si>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</si>
  <si>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</si>
  <si>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</si>
  <si>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</si>
  <si>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</si>
  <si>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</si>
  <si>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</si>
  <si>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</si>
  <si>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</si>
  <si>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</si>
  <si>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</si>
  <si>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</si>
  <si>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</si>
  <si>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</si>
  <si>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</si>
  <si>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</si>
  <si>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</si>
  <si>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</si>
  <si>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</si>
  <si>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</si>
  <si>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</si>
  <si>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</si>
  <si>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</si>
  <si>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</si>
  <si>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</si>
  <si>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</si>
  <si>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</si>
  <si>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</si>
  <si>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</si>
  <si>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</si>
  <si>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</si>
  <si>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</si>
  <si>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</si>
  <si>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</si>
  <si>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</si>
  <si>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</si>
  <si>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</si>
  <si>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</si>
  <si>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</si>
  <si>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</si>
  <si>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</si>
  <si>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</si>
  <si>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</si>
  <si>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</si>
  <si>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</si>
  <si>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</si>
  <si>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</si>
  <si>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</si>
  <si>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</si>
  <si>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</si>
  <si>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</si>
  <si>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</si>
  <si>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</si>
  <si>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</si>
  <si>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</si>
  <si>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</si>
  <si>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</si>
  <si>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</si>
  <si>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</si>
  <si>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</si>
  <si>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</si>
  <si>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</si>
  <si>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</si>
  <si>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</si>
  <si>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</si>
  <si>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</si>
  <si>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</si>
  <si>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</si>
  <si>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</si>
  <si>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</si>
  <si>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</si>
  <si>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</si>
  <si>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</si>
  <si>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</si>
  <si>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</si>
  <si>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</si>
  <si>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</si>
  <si>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</si>
  <si>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</si>
  <si>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</si>
  <si>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</si>
  <si>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</si>
  <si>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</si>
  <si>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</si>
  <si>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</si>
  <si>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</si>
  <si>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</si>
  <si>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</si>
  <si>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</si>
  <si>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</si>
  <si>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</si>
  <si>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</si>
  <si>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</si>
  <si>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</si>
  <si>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</si>
  <si>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</si>
  <si>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</si>
  <si>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</si>
  <si>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</si>
  <si>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</si>
  <si>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</si>
  <si>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</si>
  <si>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</si>
  <si>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</si>
  <si>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</si>
  <si>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</si>
  <si>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</si>
  <si>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</si>
  <si>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</si>
  <si>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</si>
  <si>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</si>
  <si>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</si>
  <si>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</si>
  <si>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</si>
  <si>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</si>
  <si>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</si>
  <si>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</si>
  <si>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</si>
  <si>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</si>
  <si>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</si>
  <si>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</si>
  <si>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</si>
  <si>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</si>
  <si>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</si>
  <si>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</si>
  <si>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</si>
  <si>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</si>
  <si>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</si>
  <si>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</si>
  <si>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</si>
  <si>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</si>
  <si>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</si>
  <si>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</si>
  <si>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</si>
  <si>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</si>
  <si>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</si>
  <si>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</si>
  <si>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</si>
  <si>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</si>
  <si>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</si>
  <si>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</si>
  <si>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</si>
  <si>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</si>
  <si>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</si>
  <si>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</si>
  <si>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</si>
  <si>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</si>
  <si>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</si>
  <si>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</si>
  <si>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</si>
  <si>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</si>
  <si>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</si>
  <si>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</si>
  <si>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</si>
  <si>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</si>
  <si>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</si>
  <si>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</si>
  <si>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</si>
  <si>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</si>
  <si>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</si>
  <si>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</si>
  <si>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</si>
  <si>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</si>
  <si>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</si>
  <si>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</si>
  <si>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</si>
  <si>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</si>
  <si>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</si>
  <si>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</si>
  <si>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</si>
  <si>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</si>
  <si>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</si>
  <si>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</si>
  <si>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</si>
  <si>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</si>
  <si>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</si>
  <si>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</si>
  <si>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</si>
  <si>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</si>
  <si>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</si>
  <si>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</si>
  <si>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</si>
  <si>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</si>
  <si>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</si>
  <si>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</si>
  <si>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</si>
  <si>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</si>
  <si>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</si>
  <si>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</si>
  <si>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</si>
  <si>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</si>
  <si>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</si>
  <si>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</si>
  <si>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</si>
  <si>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</si>
  <si>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</si>
  <si>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</si>
  <si>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</si>
  <si>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</si>
  <si>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</si>
  <si>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</si>
  <si>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</si>
  <si>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</si>
  <si>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</si>
  <si>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</si>
  <si>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</si>
  <si>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</si>
  <si>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</si>
  <si>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</si>
  <si>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</si>
  <si>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</si>
  <si>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</si>
  <si>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</si>
  <si>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</si>
  <si>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</si>
  <si>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</si>
  <si>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</si>
  <si>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</si>
  <si>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</si>
  <si>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</si>
  <si>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</si>
  <si>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</si>
  <si>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</si>
  <si>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</si>
  <si>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</si>
  <si>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</si>
  <si>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</si>
  <si>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</si>
  <si>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</si>
  <si>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</si>
  <si>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</si>
  <si>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</si>
  <si>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</si>
  <si>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</si>
  <si>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</si>
  <si>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</si>
  <si>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</si>
  <si>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</si>
  <si>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</si>
  <si>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</si>
  <si>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</si>
  <si>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</si>
  <si>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</si>
  <si>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</si>
  <si>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</si>
  <si>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</si>
  <si>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</si>
  <si>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</si>
  <si>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</si>
  <si>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</si>
  <si>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</si>
  <si>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</si>
  <si>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</si>
  <si>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</si>
  <si>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</si>
  <si>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</si>
  <si>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</si>
  <si>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</si>
  <si>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</si>
  <si>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</si>
  <si>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</si>
  <si>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</si>
  <si>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</si>
  <si>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</si>
  <si>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</si>
  <si>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</si>
  <si>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</si>
  <si>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</si>
  <si>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</si>
  <si>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</si>
  <si>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</si>
  <si>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</si>
  <si>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</si>
  <si>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</si>
  <si>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</si>
  <si>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</si>
  <si>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</si>
  <si>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</si>
  <si>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</si>
  <si>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</si>
  <si>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</si>
  <si>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</si>
  <si>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</si>
  <si>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</si>
  <si>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</si>
  <si>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</si>
  <si>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</si>
  <si>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</si>
  <si>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</si>
  <si>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</si>
  <si>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</si>
  <si>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</si>
  <si>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</si>
  <si>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</si>
  <si>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</si>
  <si>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</si>
  <si>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</si>
  <si>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</si>
  <si>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</si>
  <si>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</si>
  <si>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</si>
  <si>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</si>
  <si>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</si>
  <si>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</si>
  <si>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</si>
  <si>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</si>
  <si>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</si>
  <si>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</si>
  <si>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</si>
  <si>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</si>
  <si>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</si>
  <si>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</si>
  <si>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</si>
  <si>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</si>
  <si>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</si>
  <si>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</si>
  <si>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</si>
  <si>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</si>
  <si>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</si>
  <si>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</si>
  <si>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</si>
  <si>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</si>
  <si>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</si>
  <si>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</si>
  <si>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</si>
  <si>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</si>
  <si>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</si>
  <si>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</si>
  <si>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</si>
  <si>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</si>
  <si>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</si>
  <si>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</si>
  <si>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</si>
  <si>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</si>
  <si>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</si>
  <si>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</si>
  <si>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</si>
  <si>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</si>
  <si>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</si>
  <si>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</si>
  <si>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</si>
  <si>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</si>
  <si>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</si>
  <si>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</si>
  <si>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</si>
  <si>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</si>
  <si>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</si>
  <si>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</si>
  <si>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</si>
  <si>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</si>
  <si>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</si>
  <si>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</si>
  <si>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</si>
  <si>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</si>
  <si>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</si>
  <si>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</si>
  <si>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</si>
  <si>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</si>
  <si>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</si>
  <si>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</si>
  <si>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</si>
  <si>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</si>
  <si>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</si>
  <si>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</si>
  <si>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</si>
  <si>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</si>
  <si>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</si>
  <si>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</si>
  <si>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</si>
  <si>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</si>
  <si>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</si>
  <si>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</si>
  <si>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</si>
  <si>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</si>
  <si>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</si>
  <si>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</si>
  <si>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</si>
  <si>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</si>
  <si>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</si>
  <si>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</si>
  <si>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</si>
  <si>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</si>
  <si>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</si>
  <si>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</si>
  <si>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</si>
  <si>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</si>
  <si>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</si>
  <si>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</si>
  <si>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</si>
  <si>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</si>
  <si>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</si>
  <si>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</si>
  <si>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</si>
  <si>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</si>
  <si>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</si>
  <si>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</si>
  <si>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</si>
  <si>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</si>
  <si>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</si>
  <si>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</si>
  <si>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</si>
  <si>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</si>
  <si>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</si>
  <si>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</si>
  <si>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</si>
  <si>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</si>
  <si>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</si>
  <si>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</si>
  <si>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</si>
  <si>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</si>
  <si>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</si>
  <si>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</si>
  <si>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</si>
  <si>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</si>
  <si>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</si>
  <si>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</si>
  <si>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</si>
  <si>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</si>
  <si>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</si>
  <si>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</si>
  <si>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</si>
  <si>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</si>
  <si>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</si>
  <si>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</si>
  <si>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</si>
  <si>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</si>
  <si>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</si>
  <si>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</si>
  <si>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</si>
  <si>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</si>
  <si>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</si>
  <si>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</si>
  <si>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</si>
  <si>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</si>
  <si>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</si>
  <si>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</si>
  <si>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</si>
  <si>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</si>
  <si>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</si>
  <si>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</si>
  <si>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</si>
  <si>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</si>
  <si>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</si>
  <si>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</si>
  <si>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</si>
  <si>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</si>
  <si>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</si>
  <si>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</si>
  <si>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</si>
  <si>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</si>
  <si>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</si>
  <si>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</si>
  <si>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</si>
  <si>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</si>
  <si>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</si>
  <si>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</si>
  <si>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</si>
  <si>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</si>
  <si>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</si>
  <si>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</si>
  <si>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</si>
  <si>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</si>
  <si>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</si>
  <si>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</si>
  <si>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</si>
  <si>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</si>
  <si>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</si>
  <si>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</si>
  <si>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</si>
  <si>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</si>
  <si>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</si>
  <si>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</si>
  <si>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</si>
  <si>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</si>
  <si>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</si>
  <si>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</si>
  <si>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</si>
  <si>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</si>
  <si>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</si>
  <si>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</si>
  <si>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</si>
  <si>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</si>
  <si>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</si>
  <si>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</si>
  <si>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</si>
  <si>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</si>
  <si>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</si>
  <si>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</si>
  <si>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</si>
  <si>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</si>
  <si>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</si>
  <si>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</si>
  <si>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</si>
  <si>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</si>
  <si>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</si>
  <si>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</si>
  <si>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</si>
  <si>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</si>
  <si>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</si>
  <si>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</si>
  <si>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</si>
  <si>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</si>
  <si>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</si>
  <si>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</si>
  <si>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</si>
  <si>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</si>
  <si>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</si>
  <si>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</si>
  <si>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</si>
  <si>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</si>
  <si>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</si>
  <si>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</si>
  <si>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</si>
  <si>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</si>
  <si>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</si>
  <si>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</si>
  <si>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</si>
  <si>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</si>
  <si>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</si>
  <si>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</si>
  <si>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</si>
  <si>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</si>
  <si>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</si>
  <si>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</si>
  <si>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</si>
  <si>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</si>
  <si>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</si>
  <si>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</si>
  <si>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</si>
  <si>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</si>
  <si>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</si>
  <si>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</si>
  <si>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</si>
  <si>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</si>
  <si>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</si>
  <si>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</si>
  <si>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</si>
  <si>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</si>
  <si>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</si>
  <si>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</si>
  <si>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</si>
  <si>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</si>
  <si>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</si>
  <si>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</si>
  <si>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</si>
  <si>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</si>
  <si>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</si>
  <si>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</si>
  <si>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</si>
  <si>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</si>
  <si>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</si>
  <si>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</si>
  <si>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</si>
  <si>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</si>
  <si>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</si>
  <si>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</si>
  <si>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</si>
  <si>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</si>
  <si>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</si>
  <si>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</si>
  <si>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</si>
  <si>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</si>
  <si>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</si>
  <si>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</si>
  <si>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</si>
  <si>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</si>
  <si>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</si>
  <si>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</si>
  <si>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</si>
  <si>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</si>
  <si>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</si>
  <si>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</si>
  <si>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</si>
  <si>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</si>
  <si>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</si>
  <si>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</si>
  <si>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</si>
  <si>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</si>
  <si>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</si>
  <si>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</si>
  <si>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</si>
  <si>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</si>
  <si>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</si>
  <si>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</si>
  <si>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</si>
  <si>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</si>
  <si>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</si>
  <si>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</si>
  <si>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</si>
  <si>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</si>
  <si>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</si>
  <si>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</si>
  <si>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</si>
  <si>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</si>
  <si>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</si>
  <si>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</si>
  <si>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</si>
  <si>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</si>
  <si>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</si>
  <si>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</si>
  <si>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</si>
  <si>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</si>
  <si>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</si>
  <si>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</si>
  <si>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</si>
  <si>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</si>
  <si>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</si>
  <si>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</si>
  <si>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</si>
  <si>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</si>
  <si>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</si>
  <si>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</si>
  <si>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</si>
  <si>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</si>
  <si>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</si>
  <si>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</si>
  <si>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</si>
  <si>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</si>
  <si>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</si>
  <si>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</si>
  <si>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</si>
  <si>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</si>
  <si>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</si>
  <si>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</si>
  <si>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</si>
  <si>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</si>
  <si>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</si>
  <si>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</si>
  <si>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</si>
  <si>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</si>
  <si>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</si>
  <si>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</si>
  <si>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</si>
  <si>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</si>
  <si>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</si>
  <si>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</si>
  <si>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</si>
  <si>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</si>
  <si>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</si>
  <si>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</si>
  <si>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</si>
  <si>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</si>
  <si>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</si>
  <si>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</si>
  <si>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</si>
  <si>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</si>
  <si>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</si>
  <si>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</si>
  <si>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</si>
  <si>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</si>
  <si>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</si>
  <si>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</si>
  <si>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</si>
  <si>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</si>
  <si>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</si>
  <si>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</si>
  <si>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</si>
  <si>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</si>
  <si>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</si>
  <si>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</si>
  <si>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</si>
  <si>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</si>
  <si>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</si>
  <si>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</si>
  <si>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</si>
  <si>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</si>
  <si>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</si>
  <si>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</si>
  <si>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</si>
  <si>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</si>
  <si>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</si>
  <si>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</si>
  <si>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</si>
  <si>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</si>
  <si>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</si>
  <si>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</si>
  <si>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</si>
  <si>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</si>
  <si>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</si>
  <si>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</si>
  <si>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</si>
  <si>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</si>
  <si>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</si>
  <si>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</si>
  <si>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</si>
  <si>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</si>
  <si>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</si>
  <si>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</si>
  <si>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</si>
  <si>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</si>
  <si>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</si>
  <si>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</si>
  <si>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</si>
  <si>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</si>
  <si>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</si>
  <si>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</si>
  <si>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</si>
  <si>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</si>
  <si>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</si>
  <si>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</si>
  <si>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</si>
  <si>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</si>
  <si>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</si>
  <si>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</si>
  <si>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</si>
  <si>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</si>
  <si>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</si>
  <si>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</si>
  <si>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</si>
  <si>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</si>
  <si>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</si>
  <si>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</si>
  <si>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</si>
  <si>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</si>
  <si>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</si>
  <si>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</si>
  <si>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</si>
  <si>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</si>
  <si>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</si>
  <si>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</si>
  <si>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</si>
  <si>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</si>
  <si>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</si>
  <si>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</si>
  <si>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</si>
  <si>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</si>
  <si>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</si>
  <si>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</si>
  <si>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</si>
  <si>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</si>
  <si>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</si>
  <si>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</si>
  <si>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</si>
  <si>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</si>
  <si>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</si>
  <si>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</si>
  <si>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</si>
  <si>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</si>
  <si>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</si>
  <si>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</si>
  <si>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</si>
  <si>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</si>
  <si>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</si>
  <si>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</si>
  <si>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</si>
  <si>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</si>
  <si>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</si>
  <si>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</si>
  <si>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</si>
  <si>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</si>
  <si>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</si>
  <si>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</si>
  <si>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</si>
  <si>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</si>
  <si>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</si>
  <si>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</si>
  <si>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</si>
  <si>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</si>
  <si>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</si>
  <si>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</si>
  <si>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</si>
  <si>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</si>
  <si>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</si>
  <si>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</si>
  <si>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</si>
  <si>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</si>
  <si>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</si>
  <si>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</si>
  <si>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</si>
  <si>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</si>
  <si>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</si>
  <si>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</si>
  <si>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</si>
  <si>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</si>
  <si>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</si>
  <si>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</si>
  <si>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</si>
  <si>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</si>
  <si>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</si>
  <si>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</si>
  <si>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</si>
  <si>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</si>
  <si>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</si>
  <si>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</si>
  <si>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</si>
  <si>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</si>
  <si>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</si>
  <si>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</si>
  <si>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</si>
  <si>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</si>
  <si>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</si>
  <si>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</si>
  <si>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</si>
  <si>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</si>
  <si>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</si>
  <si>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</si>
  <si>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</si>
  <si>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</si>
  <si>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</si>
  <si>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</si>
  <si>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</si>
  <si>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</si>
  <si>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</si>
  <si>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</si>
  <si>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</si>
  <si>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</si>
  <si>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</si>
  <si>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</si>
  <si>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</si>
  <si>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</si>
  <si>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</si>
  <si>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</si>
  <si>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</si>
  <si>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</si>
  <si>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</si>
  <si>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</si>
  <si>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</si>
  <si>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</si>
  <si>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</si>
  <si>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</si>
  <si>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</si>
  <si>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</si>
  <si>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</si>
  <si>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</si>
  <si>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</si>
  <si>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</si>
  <si>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</si>
  <si>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</si>
  <si>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</si>
  <si>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</si>
  <si>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</si>
  <si>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</si>
  <si>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</si>
  <si>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</si>
  <si>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</si>
  <si>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</si>
  <si>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</si>
  <si>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</si>
  <si>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</si>
  <si>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</si>
  <si>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</si>
  <si>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</si>
  <si>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</si>
  <si>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</si>
  <si>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</si>
  <si>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</si>
  <si>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</si>
  <si>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</si>
  <si>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</si>
  <si>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</si>
  <si>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</si>
  <si>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</si>
  <si>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</si>
  <si>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</si>
  <si>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</si>
  <si>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</si>
  <si>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</si>
  <si>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</si>
  <si>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</si>
  <si>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</si>
  <si>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</si>
  <si>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</si>
  <si>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</si>
  <si>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</si>
  <si>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</si>
  <si>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</si>
  <si>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</si>
  <si>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</si>
  <si>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</si>
  <si>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</si>
  <si>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</si>
  <si>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</si>
  <si>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</si>
  <si>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</si>
  <si>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</si>
  <si>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</si>
  <si>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</si>
  <si>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</si>
  <si>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</si>
  <si>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</si>
  <si>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</si>
  <si>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</si>
  <si>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</si>
  <si>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</si>
  <si>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</si>
  <si>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</si>
  <si>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</si>
  <si>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</si>
  <si>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</si>
  <si>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</si>
  <si>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</si>
  <si>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</si>
  <si>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</si>
  <si>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</si>
  <si>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</si>
  <si>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</si>
  <si>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</si>
  <si>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</si>
  <si>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</si>
  <si>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</si>
  <si>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</si>
  <si>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</si>
  <si>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</si>
  <si>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</si>
  <si>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</si>
  <si>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</si>
  <si>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</si>
  <si>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</si>
  <si>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</si>
  <si>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</si>
  <si>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</si>
  <si>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</si>
  <si>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</si>
  <si>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</si>
  <si>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</si>
  <si>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</si>
  <si>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</si>
  <si>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</si>
  <si>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</si>
  <si>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</si>
  <si>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</si>
  <si>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</si>
  <si>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</si>
  <si>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</si>
  <si>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</si>
  <si>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</si>
  <si>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</si>
  <si>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</si>
  <si>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</si>
  <si>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</si>
  <si>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</si>
  <si>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</si>
  <si>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</si>
  <si>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</si>
  <si>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</si>
  <si>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</si>
  <si>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</si>
  <si>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</si>
  <si>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</si>
  <si>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</si>
  <si>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</si>
  <si>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</si>
  <si>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</si>
  <si>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</si>
  <si>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</si>
  <si>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</si>
  <si>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</si>
  <si>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</si>
  <si>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</si>
  <si>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</si>
  <si>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</si>
  <si>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</si>
  <si>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</si>
  <si>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</si>
  <si>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</si>
  <si>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</si>
  <si>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</si>
  <si>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</si>
  <si>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</si>
  <si>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</si>
  <si>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</si>
  <si>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</si>
  <si>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</si>
  <si>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</si>
  <si>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</si>
  <si>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</si>
  <si>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</si>
  <si>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</si>
  <si>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</si>
  <si>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</si>
  <si>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</si>
  <si>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</si>
  <si>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</si>
  <si>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</si>
  <si>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</si>
  <si>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</si>
  <si>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</si>
  <si>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</si>
  <si>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</si>
  <si>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</si>
  <si>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</si>
  <si>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</si>
  <si>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</si>
  <si>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</si>
  <si>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</si>
  <si>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</si>
  <si>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</si>
  <si>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</si>
  <si>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</si>
  <si>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</si>
  <si>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</si>
  <si>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</si>
  <si>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</si>
  <si>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</si>
  <si>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</si>
  <si>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</si>
  <si>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</si>
  <si>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</si>
  <si>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</si>
  <si>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</si>
  <si>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</si>
  <si>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</si>
  <si>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</si>
  <si>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</si>
  <si>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</si>
  <si>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</si>
  <si>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</si>
  <si>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</si>
  <si>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</si>
  <si>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</si>
  <si>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</si>
  <si>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</si>
  <si>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</si>
  <si>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</si>
  <si>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</si>
  <si>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</si>
  <si>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</si>
  <si>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</si>
  <si>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</si>
  <si>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</si>
  <si>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</si>
  <si>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</si>
  <si>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</si>
  <si>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</si>
  <si>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</si>
  <si>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</si>
  <si>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</si>
  <si>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</si>
  <si>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</si>
  <si>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</si>
  <si>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</si>
  <si>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</si>
  <si>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</si>
  <si>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</si>
  <si>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</si>
  <si>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</si>
  <si>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</si>
  <si>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</si>
  <si>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</si>
  <si>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</si>
  <si>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</si>
  <si>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</si>
  <si>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</si>
  <si>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</si>
  <si>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</si>
  <si>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</si>
  <si>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</si>
  <si>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</si>
  <si>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</si>
  <si>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</si>
  <si>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</si>
  <si>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</si>
  <si>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</si>
  <si>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</si>
  <si>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</si>
  <si>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</si>
  <si>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</si>
  <si>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</si>
  <si>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</si>
  <si>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</si>
  <si>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</si>
  <si>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</si>
  <si>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</si>
  <si>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</si>
  <si>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</si>
  <si>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</si>
  <si>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</si>
  <si>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</si>
  <si>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</si>
  <si>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</si>
  <si>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</si>
  <si>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</si>
  <si>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</si>
  <si>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</si>
  <si>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</si>
  <si>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</si>
  <si>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</si>
  <si>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</si>
  <si>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</si>
  <si>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</si>
  <si>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</si>
  <si>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</si>
  <si>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</si>
  <si>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</si>
  <si>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</si>
  <si>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</si>
  <si>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</si>
  <si>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</si>
  <si>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</si>
  <si>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</si>
  <si>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</si>
  <si>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</si>
  <si>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</si>
  <si>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</si>
  <si>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</si>
  <si>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</si>
  <si>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</si>
  <si>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</si>
  <si>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</si>
  <si>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</si>
  <si>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</si>
  <si>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</si>
  <si>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</si>
  <si>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</si>
  <si>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</si>
  <si>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</si>
  <si>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</si>
  <si>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</si>
  <si>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</si>
  <si>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</si>
  <si>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</si>
  <si>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</si>
  <si>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</si>
  <si>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</si>
  <si>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</si>
  <si>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</si>
  <si>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</si>
  <si>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</si>
  <si>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</si>
  <si>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</si>
  <si>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</si>
  <si>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</si>
  <si>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</si>
  <si>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</si>
  <si>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</si>
  <si>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</si>
  <si>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</si>
  <si>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</si>
  <si>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</si>
  <si>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</si>
  <si>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</si>
  <si>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</si>
  <si>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</si>
  <si>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</si>
  <si>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</si>
  <si>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</si>
  <si>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</si>
  <si>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</si>
  <si>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</si>
  <si>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</si>
  <si>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</si>
  <si>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</si>
  <si>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</si>
  <si>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</si>
  <si>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</si>
  <si>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</si>
  <si>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</si>
  <si>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</si>
  <si>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</si>
  <si>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</si>
  <si>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</si>
  <si>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</si>
  <si>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</si>
  <si>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</si>
  <si>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</si>
  <si>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</si>
  <si>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</si>
  <si>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</si>
  <si>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</si>
  <si>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</si>
  <si>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</si>
  <si>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</si>
  <si>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</si>
  <si>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</si>
  <si>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</si>
  <si>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</si>
  <si>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</si>
  <si>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</si>
  <si>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</si>
  <si>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</si>
  <si>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</si>
  <si>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</si>
  <si>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</si>
  <si>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</si>
  <si>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</si>
  <si>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</si>
  <si>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</si>
  <si>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</si>
  <si>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</si>
  <si>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</si>
  <si>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</si>
  <si>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</si>
  <si>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</si>
  <si>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</si>
  <si>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</si>
  <si>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</si>
  <si>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</si>
  <si>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</si>
  <si>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</si>
  <si>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</si>
  <si>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</si>
  <si>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</si>
  <si>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</si>
  <si>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</si>
  <si>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</si>
  <si>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</si>
  <si>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</si>
  <si>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</si>
  <si>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</si>
  <si>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</si>
  <si>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</si>
  <si>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</si>
  <si>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</si>
  <si>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</si>
  <si>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</si>
  <si>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</si>
  <si>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</si>
  <si>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</si>
  <si>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</si>
  <si>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</si>
  <si>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</si>
  <si>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</si>
  <si>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</si>
  <si>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</si>
  <si>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</si>
  <si>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</si>
  <si>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</si>
  <si>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</si>
  <si>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</si>
  <si>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</si>
  <si>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</si>
  <si>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</si>
  <si>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</si>
  <si>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</si>
  <si>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</si>
  <si>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</si>
  <si>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</si>
  <si>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</si>
  <si>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</si>
  <si>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</si>
  <si>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</si>
  <si>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</si>
  <si>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</si>
  <si>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</si>
  <si>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</si>
  <si>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</si>
  <si>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</si>
  <si>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</si>
  <si>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</si>
  <si>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</si>
  <si>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</si>
  <si>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</si>
  <si>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</si>
  <si>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</si>
  <si>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</si>
  <si>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</si>
  <si>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</si>
  <si>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</si>
  <si>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</si>
  <si>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</si>
  <si>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</si>
  <si>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</si>
  <si>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</si>
  <si>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</si>
  <si>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</si>
  <si>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</si>
  <si>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</si>
  <si>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</si>
  <si>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</si>
  <si>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</si>
  <si>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</si>
  <si>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</si>
  <si>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</si>
  <si>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</si>
  <si>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</si>
  <si>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</si>
  <si>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</si>
  <si>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</si>
  <si>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</si>
  <si>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</si>
  <si>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</si>
  <si>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</si>
  <si>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</si>
  <si>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</si>
  <si>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</si>
  <si>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</si>
  <si>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</si>
  <si>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</si>
  <si>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</si>
  <si>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</si>
  <si>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</si>
  <si>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</si>
  <si>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</si>
  <si>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</si>
  <si>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</si>
  <si>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</si>
  <si>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</si>
  <si>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</si>
  <si>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</si>
  <si>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</si>
  <si>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</si>
  <si>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</si>
  <si>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</si>
  <si>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</si>
  <si>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</si>
  <si>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</si>
  <si>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</si>
  <si>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</si>
  <si>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</si>
  <si>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</si>
  <si>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</si>
  <si>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</si>
  <si>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</si>
  <si>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</si>
  <si>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</si>
  <si>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</si>
  <si>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</si>
  <si>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</si>
  <si>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</si>
  <si>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</si>
  <si>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</si>
  <si>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</si>
  <si>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</si>
  <si>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</si>
  <si>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</si>
  <si>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</si>
  <si>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</si>
  <si>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</si>
  <si>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</si>
  <si>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</si>
  <si>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</si>
  <si>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</si>
  <si>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</si>
  <si>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</si>
  <si>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</si>
  <si>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</si>
  <si>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</si>
  <si>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</si>
  <si>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</si>
  <si>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</si>
  <si>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</si>
  <si>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</si>
  <si>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</si>
  <si>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</si>
  <si>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</si>
  <si>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</si>
  <si>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</si>
  <si>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</si>
  <si>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</si>
  <si>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</si>
  <si>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</si>
  <si>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</si>
  <si>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</si>
  <si>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</si>
  <si>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</si>
  <si>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</si>
  <si>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</si>
  <si>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</si>
  <si>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</si>
  <si>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</si>
  <si>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</si>
  <si>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</si>
  <si>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</si>
  <si>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</si>
  <si>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</si>
  <si>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</si>
  <si>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</si>
  <si>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</si>
  <si>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</si>
  <si>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</si>
  <si>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</si>
  <si>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</si>
  <si>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</si>
  <si>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</si>
  <si>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</si>
  <si>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</si>
  <si>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</si>
  <si>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</si>
  <si>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</si>
  <si>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</si>
  <si>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</si>
  <si>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</si>
  <si>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</si>
  <si>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</si>
  <si>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</si>
  <si>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</si>
  <si>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</si>
  <si>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</si>
  <si>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</si>
  <si>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</si>
  <si>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</si>
  <si>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</si>
  <si>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</si>
  <si>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</si>
  <si>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</si>
  <si>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</si>
  <si>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</si>
  <si>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</si>
  <si>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</si>
  <si>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</si>
  <si>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</si>
  <si>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</si>
  <si>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</si>
  <si>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</si>
  <si>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</si>
  <si>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</si>
  <si>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</si>
  <si>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</si>
  <si>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</si>
  <si>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</si>
  <si>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</si>
  <si>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</si>
  <si>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</si>
  <si>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</si>
  <si>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</si>
  <si>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</si>
  <si>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</si>
  <si>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</si>
  <si>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</si>
  <si>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</si>
  <si>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</si>
  <si>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</si>
  <si>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</si>
  <si>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</si>
  <si>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</si>
  <si>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</si>
  <si>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</si>
  <si>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</si>
  <si>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</si>
  <si>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</si>
  <si>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</si>
  <si>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</si>
  <si>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</si>
  <si>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</si>
  <si>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</si>
  <si>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</si>
  <si>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</si>
  <si>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</si>
  <si>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</si>
  <si>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</si>
  <si>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</si>
  <si>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</si>
  <si>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</si>
  <si>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</si>
  <si>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</si>
  <si>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</si>
  <si>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</si>
  <si>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</si>
  <si>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</si>
  <si>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</si>
  <si>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</si>
  <si>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</si>
  <si>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</si>
  <si>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</si>
  <si>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</si>
  <si>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</si>
  <si>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</si>
  <si>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</si>
  <si>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</si>
  <si>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</si>
  <si>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</si>
  <si>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</si>
  <si>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</si>
  <si>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</si>
  <si>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</si>
  <si>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</si>
  <si>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</si>
  <si>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</si>
  <si>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</si>
  <si>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</si>
  <si>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</si>
  <si>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</si>
  <si>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</si>
  <si>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</si>
  <si>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</si>
  <si>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</si>
  <si>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</si>
  <si>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</si>
  <si>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</si>
  <si>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</si>
  <si>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</si>
  <si>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</si>
  <si>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</si>
  <si>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</si>
  <si>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</si>
  <si>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</si>
  <si>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</si>
  <si>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</si>
  <si>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</si>
  <si>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</si>
  <si>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</si>
  <si>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</si>
  <si>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</si>
  <si>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</si>
  <si>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</si>
  <si>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</si>
  <si>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</si>
  <si>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</si>
  <si>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</si>
  <si>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</si>
  <si>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</si>
  <si>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</si>
  <si>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</si>
  <si>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</si>
  <si>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</si>
  <si>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</si>
  <si>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</si>
  <si>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</si>
  <si>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</si>
  <si>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</si>
  <si>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</si>
  <si>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</si>
  <si>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</si>
  <si>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</si>
  <si>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</si>
  <si>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</si>
  <si>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</si>
  <si>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</si>
  <si>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</si>
  <si>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</si>
  <si>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</si>
  <si>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</si>
  <si>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</si>
  <si>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</si>
  <si>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</si>
  <si>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</si>
  <si>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</si>
  <si>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</si>
  <si>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</si>
  <si>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</si>
  <si>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</si>
  <si>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</si>
  <si>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</si>
  <si>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</si>
  <si>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</si>
  <si>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</si>
  <si>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</si>
  <si>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</si>
  <si>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</si>
  <si>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</si>
  <si>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</si>
  <si>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</si>
  <si>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</si>
  <si>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</si>
  <si>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</si>
  <si>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</si>
  <si>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</si>
  <si>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</si>
  <si>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</si>
  <si>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</si>
  <si>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</si>
  <si>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</si>
  <si>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</si>
  <si>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</si>
  <si>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</si>
  <si>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</si>
  <si>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</si>
  <si>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</si>
  <si>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</si>
  <si>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</si>
  <si>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</si>
  <si>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</si>
  <si>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</si>
  <si>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</si>
  <si>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</si>
  <si>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</si>
  <si>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</si>
  <si>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</si>
  <si>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</si>
  <si>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</si>
  <si>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</si>
  <si>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</si>
  <si>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</si>
  <si>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</si>
  <si>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</si>
  <si>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</si>
  <si>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</si>
  <si>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</si>
  <si>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</si>
  <si>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</si>
  <si>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</si>
  <si>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</si>
  <si>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</si>
  <si>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</si>
  <si>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</si>
  <si>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</si>
  <si>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</si>
  <si>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</si>
  <si>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</si>
  <si>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</si>
  <si>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</si>
  <si>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</si>
  <si>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</si>
  <si>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</si>
  <si>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</si>
  <si>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</si>
  <si>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</si>
  <si>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</si>
  <si>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</si>
  <si>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</si>
  <si>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</si>
  <si>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</si>
  <si>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</si>
  <si>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</si>
  <si>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</si>
  <si>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</si>
  <si>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</si>
  <si>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</si>
  <si>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</si>
  <si>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</si>
  <si>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</si>
  <si>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</si>
  <si>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</si>
  <si>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</si>
  <si>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</si>
  <si>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</si>
  <si>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</si>
  <si>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</si>
  <si>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</si>
  <si>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</si>
  <si>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</si>
  <si>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</si>
  <si>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</si>
  <si>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</si>
  <si>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</si>
  <si>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</si>
  <si>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</si>
  <si>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</si>
  <si>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</si>
  <si>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</si>
  <si>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</si>
  <si>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</si>
  <si>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</si>
  <si>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</si>
  <si>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</si>
  <si>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</si>
  <si>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</si>
  <si>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</si>
  <si>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</si>
  <si>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</si>
  <si>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</si>
  <si>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</si>
  <si>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</si>
  <si>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</si>
  <si>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</si>
  <si>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</si>
  <si>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</si>
  <si>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</si>
  <si>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</si>
  <si>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</si>
  <si>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</si>
  <si>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</si>
  <si>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</si>
  <si>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</si>
  <si>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</si>
  <si>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</si>
  <si>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</si>
  <si>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</si>
  <si>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</si>
  <si>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</si>
  <si>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</si>
  <si>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</si>
  <si>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</si>
  <si>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</si>
  <si>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</si>
  <si>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</si>
  <si>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</si>
  <si>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</si>
  <si>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</si>
  <si>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</si>
  <si>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</si>
  <si>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</si>
  <si>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</si>
  <si>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</si>
  <si>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</si>
  <si>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</si>
  <si>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</si>
  <si>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</si>
  <si>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</si>
  <si>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</si>
  <si>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</si>
  <si>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</si>
  <si>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</si>
  <si>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</si>
  <si>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</si>
  <si>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</si>
  <si>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</si>
  <si>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</si>
  <si>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</si>
  <si>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</si>
  <si>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</si>
  <si>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</si>
  <si>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</si>
  <si>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</si>
  <si>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</si>
  <si>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</si>
  <si>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</si>
  <si>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</si>
  <si>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</si>
  <si>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</si>
  <si>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</si>
  <si>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</si>
  <si>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</si>
  <si>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</si>
  <si>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</si>
  <si>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</si>
  <si>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</si>
  <si>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</si>
  <si>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</si>
  <si>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</si>
  <si>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</si>
  <si>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</si>
  <si>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</si>
  <si>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</si>
  <si>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</si>
  <si>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</si>
  <si>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</si>
  <si>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</si>
  <si>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</si>
  <si>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</si>
  <si>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</si>
  <si>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</si>
  <si>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</si>
  <si>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</si>
  <si>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</si>
  <si>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</si>
  <si>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</si>
  <si>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</si>
  <si>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</si>
  <si>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</si>
  <si>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</si>
  <si>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</si>
  <si>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</si>
  <si>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</si>
  <si>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</si>
  <si>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</si>
  <si>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</si>
  <si>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</si>
  <si>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</si>
  <si>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</si>
  <si>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</si>
  <si>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</si>
  <si>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</si>
  <si>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</si>
  <si>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</si>
  <si>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</si>
  <si>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</si>
  <si>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</si>
  <si>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</si>
  <si>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</si>
  <si>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</si>
  <si>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</si>
  <si>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</si>
  <si>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</si>
  <si>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</si>
  <si>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</si>
  <si>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</si>
  <si>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</si>
  <si>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</si>
  <si>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</si>
  <si>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</si>
  <si>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</si>
  <si>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</si>
  <si>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</si>
  <si>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</si>
  <si>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</si>
  <si>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</si>
  <si>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</si>
  <si>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</si>
  <si>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</si>
  <si>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</si>
  <si>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</si>
  <si>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</si>
  <si>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</si>
  <si>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</si>
  <si>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</si>
  <si>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</si>
  <si>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</si>
  <si>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</si>
  <si>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</si>
  <si>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</si>
  <si>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</si>
  <si>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</si>
  <si>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</si>
  <si>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</si>
  <si>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</si>
  <si>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</si>
  <si>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</si>
  <si>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</si>
  <si>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</si>
  <si>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</si>
  <si>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</si>
  <si>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</si>
  <si>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</si>
  <si>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</si>
  <si>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</si>
  <si>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</si>
  <si>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</si>
  <si>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</si>
  <si>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</si>
  <si>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</si>
  <si>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</si>
  <si>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</si>
  <si>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</si>
  <si>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</si>
  <si>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</si>
  <si>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</si>
  <si>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</si>
  <si>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</si>
  <si>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</si>
  <si>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</si>
  <si>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</si>
  <si>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</si>
  <si>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</si>
  <si>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</si>
  <si>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</si>
  <si>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</si>
  <si>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</si>
  <si>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</si>
  <si>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</si>
  <si>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</si>
  <si>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</si>
  <si>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</si>
  <si>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</si>
  <si>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</si>
  <si>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</si>
  <si>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</si>
  <si>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</si>
  <si>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</si>
  <si>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</si>
  <si>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</si>
  <si>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</si>
  <si>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</si>
  <si>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</si>
  <si>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</si>
  <si>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</si>
  <si>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</si>
  <si>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</si>
  <si>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</si>
  <si>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</si>
  <si>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</si>
  <si>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</si>
  <si>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</si>
  <si>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</si>
  <si>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</si>
  <si>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</si>
  <si>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</si>
  <si>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</si>
  <si>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</si>
  <si>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</si>
  <si>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</si>
  <si>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</si>
  <si>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</si>
  <si>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</si>
  <si>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</si>
  <si>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</si>
  <si>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</si>
  <si>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</si>
  <si>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</si>
  <si>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</si>
  <si>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</si>
  <si>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</si>
  <si>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</si>
  <si>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</si>
  <si>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</si>
  <si>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</si>
  <si>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</si>
  <si>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</si>
  <si>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</si>
  <si>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</si>
  <si>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</si>
  <si>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</si>
  <si>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</si>
  <si>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</si>
  <si>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</si>
  <si>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</si>
  <si>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</si>
  <si>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</si>
  <si>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</si>
  <si>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</si>
  <si>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</si>
  <si>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</si>
  <si>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</si>
  <si>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</si>
  <si>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</si>
  <si>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</si>
  <si>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</si>
  <si>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</si>
  <si>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</si>
  <si>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</si>
  <si>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</si>
  <si>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</si>
  <si>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</si>
  <si>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</si>
  <si>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</si>
  <si>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</si>
  <si>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</si>
  <si>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</si>
  <si>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</si>
  <si>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</si>
  <si>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</si>
  <si>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</si>
  <si>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</si>
  <si>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</si>
  <si>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</si>
  <si>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</si>
  <si>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</si>
  <si>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</si>
  <si>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</si>
  <si>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</si>
  <si>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</si>
  <si>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</si>
  <si>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</si>
  <si>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</si>
  <si>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</si>
  <si>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</si>
  <si>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</si>
  <si>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</si>
  <si>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</si>
  <si>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</si>
  <si>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</si>
  <si>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</si>
  <si>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</si>
  <si>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</si>
  <si>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</si>
  <si>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</si>
  <si>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</si>
  <si>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</si>
  <si>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</si>
  <si>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</si>
  <si>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</si>
  <si>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</si>
  <si>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</si>
  <si>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</si>
  <si>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</si>
  <si>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</si>
  <si>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</si>
  <si>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</si>
  <si>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</si>
  <si>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</si>
  <si>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</si>
  <si>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</si>
  <si>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</si>
  <si>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</si>
  <si>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</si>
  <si>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</si>
  <si>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</si>
  <si>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</si>
  <si>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</si>
  <si>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</si>
  <si>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</si>
  <si>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</si>
  <si>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</si>
  <si>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</si>
  <si>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</si>
  <si>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</si>
  <si>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</si>
  <si>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</si>
  <si>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</si>
  <si>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</si>
  <si>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</si>
  <si>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</si>
  <si>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</si>
  <si>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</si>
  <si>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</si>
  <si>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</si>
  <si>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</si>
  <si>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</si>
  <si>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</si>
  <si>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</si>
  <si>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</si>
  <si>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</si>
  <si>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</si>
  <si>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</si>
  <si>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</si>
  <si>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</si>
  <si>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</si>
  <si>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</si>
  <si>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</si>
  <si>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</si>
  <si>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</si>
  <si>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</si>
  <si>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</si>
  <si>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</si>
  <si>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</si>
  <si>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</si>
  <si>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</si>
  <si>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</si>
  <si>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</si>
  <si>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</si>
  <si>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</si>
  <si>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</si>
  <si>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</si>
  <si>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</si>
  <si>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</si>
  <si>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</si>
  <si>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</si>
  <si>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</si>
  <si>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</si>
  <si>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</si>
  <si>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</si>
  <si>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</si>
  <si>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</si>
  <si>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</si>
  <si>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</si>
  <si>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</si>
  <si>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</si>
  <si>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</si>
  <si>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</si>
  <si>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</si>
  <si>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</si>
  <si>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</si>
  <si>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</si>
  <si>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</si>
  <si>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</si>
  <si>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</si>
  <si>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</si>
  <si>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</si>
  <si>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</si>
  <si>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</si>
  <si>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</si>
  <si>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</si>
  <si>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</si>
  <si>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</si>
  <si>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</si>
  <si>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</si>
  <si>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</si>
  <si>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</si>
  <si>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</si>
  <si>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</si>
  <si>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</si>
  <si>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</si>
  <si>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</si>
  <si>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</si>
  <si>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</si>
  <si>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</si>
  <si>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</si>
  <si>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</si>
  <si>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</si>
  <si>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</si>
  <si>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</si>
  <si>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</si>
  <si>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</si>
  <si>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</si>
  <si>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</si>
  <si>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</si>
  <si>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</si>
  <si>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</si>
  <si>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</si>
  <si>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</si>
  <si>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</si>
  <si>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</si>
  <si>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</si>
  <si>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</si>
  <si>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</si>
  <si>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</si>
  <si>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</si>
  <si>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</si>
  <si>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</si>
  <si>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</si>
  <si>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</si>
  <si>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</si>
  <si>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</si>
  <si>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</si>
  <si>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</si>
  <si>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</si>
  <si>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</si>
  <si>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</si>
  <si>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</si>
  <si>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</si>
  <si>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</si>
  <si>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</si>
  <si>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</si>
  <si>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</si>
  <si>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</si>
  <si>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</si>
  <si>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</si>
  <si>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</si>
  <si>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</si>
  <si>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</si>
  <si>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</si>
  <si>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</si>
  <si>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</si>
  <si>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</si>
  <si>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</si>
  <si>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</si>
  <si>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</si>
  <si>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</si>
  <si>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</si>
  <si>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</si>
  <si>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</si>
  <si>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</si>
  <si>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</si>
  <si>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</si>
  <si>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</si>
  <si>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</si>
  <si>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</si>
  <si>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</si>
  <si>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</si>
  <si>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</si>
  <si>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</si>
  <si>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</si>
  <si>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</si>
  <si>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</si>
  <si>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</si>
  <si>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</si>
  <si>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</si>
  <si>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</si>
  <si>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</si>
  <si>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</si>
  <si>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</si>
  <si>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</si>
  <si>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</si>
  <si>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</si>
  <si>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</si>
  <si>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</si>
  <si>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</si>
  <si>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</si>
  <si>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</si>
  <si>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</si>
  <si>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</si>
  <si>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</si>
  <si>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</si>
  <si>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</si>
  <si>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</si>
  <si>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</si>
  <si>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</si>
  <si>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</si>
  <si>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</si>
  <si>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</si>
  <si>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</si>
  <si>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</si>
  <si>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</si>
  <si>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</si>
  <si>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</si>
  <si>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</si>
  <si>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</si>
  <si>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</si>
  <si>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</si>
  <si>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</si>
  <si>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</si>
  <si>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</si>
  <si>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</si>
  <si>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</si>
  <si>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</si>
  <si>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</si>
  <si>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</si>
  <si>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</si>
  <si>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</si>
  <si>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</si>
  <si>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</si>
  <si>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</si>
  <si>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</si>
  <si>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</si>
  <si>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</si>
  <si>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</si>
  <si>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</si>
  <si>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</si>
  <si>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</si>
  <si>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</si>
  <si>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</si>
  <si>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</si>
  <si>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</si>
  <si>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</si>
  <si>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</si>
  <si>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</si>
  <si>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</si>
  <si>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</si>
  <si>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</si>
  <si>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</si>
  <si>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</si>
  <si>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</si>
  <si>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</si>
  <si>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</si>
  <si>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</si>
  <si>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</si>
  <si>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</si>
  <si>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</si>
  <si>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</si>
  <si>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</si>
  <si>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</si>
  <si>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</si>
  <si>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</si>
  <si>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</si>
  <si>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</si>
  <si>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</si>
  <si>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</si>
  <si>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</si>
  <si>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</si>
  <si>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</si>
  <si>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</si>
  <si>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</si>
  <si>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</si>
  <si>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</si>
  <si>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</si>
  <si>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</si>
  <si>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</si>
  <si>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</si>
  <si>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</si>
  <si>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</si>
  <si>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</si>
  <si>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</si>
  <si>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</si>
  <si>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</si>
  <si>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</si>
  <si>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</si>
  <si>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</si>
  <si>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</si>
  <si>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</si>
  <si>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</si>
  <si>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</si>
  <si>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</si>
  <si>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</si>
  <si>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</si>
  <si>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</si>
  <si>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</si>
  <si>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</si>
  <si>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</si>
  <si>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</si>
  <si>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</si>
  <si>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</si>
  <si>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</si>
  <si>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</si>
  <si>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</si>
  <si>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</si>
  <si>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</si>
  <si>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</si>
  <si>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</si>
  <si>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</si>
  <si>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</si>
  <si>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</si>
  <si>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</si>
  <si>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</si>
  <si>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</si>
  <si>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</si>
  <si>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</si>
  <si>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</si>
  <si>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</si>
  <si>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</si>
  <si>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</si>
  <si>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</si>
  <si>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</si>
  <si>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</si>
  <si>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</si>
  <si>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</si>
  <si>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</si>
  <si>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</si>
  <si>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</si>
  <si>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</si>
  <si>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</si>
  <si>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</si>
  <si>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</si>
  <si>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</si>
  <si>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</si>
  <si>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</si>
  <si>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</si>
  <si>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</si>
  <si>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</si>
  <si>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</si>
  <si>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</si>
  <si>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</si>
  <si>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</si>
  <si>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</si>
  <si>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</si>
  <si>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</si>
  <si>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</si>
  <si>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</si>
  <si>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</si>
  <si>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</si>
  <si>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</si>
  <si>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</si>
  <si>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</si>
  <si>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</si>
  <si>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</si>
  <si>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</si>
  <si>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</si>
  <si>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</si>
  <si>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</si>
  <si>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</si>
  <si>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</si>
  <si>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</si>
  <si>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</si>
  <si>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</si>
  <si>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</si>
  <si>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</si>
  <si>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</si>
  <si>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</si>
  <si>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</si>
  <si>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</si>
  <si>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</si>
  <si>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</si>
  <si>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</si>
  <si>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</si>
  <si>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</si>
  <si>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</si>
  <si>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</si>
  <si>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</si>
  <si>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</si>
  <si>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</si>
  <si>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</si>
  <si>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</si>
  <si>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</si>
  <si>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</si>
  <si>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</si>
  <si>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</si>
  <si>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</si>
  <si>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</si>
  <si>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</si>
  <si>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</si>
  <si>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</si>
  <si>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</si>
  <si>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</si>
  <si>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</si>
  <si>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</si>
  <si>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</si>
  <si>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</si>
  <si>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</si>
  <si>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</si>
  <si>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</si>
  <si>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</si>
  <si>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</si>
  <si>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</si>
  <si>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</si>
  <si>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</si>
  <si>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</si>
  <si>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</si>
  <si>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</si>
  <si>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</si>
  <si>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</si>
  <si>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</si>
  <si>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</si>
  <si>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</si>
  <si>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</si>
  <si>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</si>
  <si>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</si>
  <si>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</si>
  <si>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</si>
  <si>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</si>
  <si>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</si>
  <si>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</si>
  <si>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</si>
  <si>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</si>
  <si>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</si>
  <si>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</si>
  <si>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</si>
  <si>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</si>
  <si>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</si>
  <si>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</si>
  <si>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</si>
  <si>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</si>
  <si>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</si>
  <si>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</si>
  <si>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</si>
  <si>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</si>
  <si>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</si>
  <si>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</si>
  <si>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</si>
  <si>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</si>
  <si>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</si>
  <si>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</si>
  <si>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</si>
  <si>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</si>
  <si>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</si>
  <si>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</si>
  <si>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</si>
  <si>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</si>
  <si>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</si>
  <si>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</si>
  <si>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</si>
  <si>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</si>
  <si>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</si>
  <si>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</si>
  <si>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</si>
  <si>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</si>
  <si>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</si>
  <si>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</si>
  <si>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</si>
  <si>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</si>
  <si>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</si>
  <si>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</si>
  <si>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</si>
  <si>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</si>
  <si>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</si>
  <si>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</si>
  <si>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</si>
  <si>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</si>
  <si>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</si>
  <si>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</si>
  <si>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</si>
  <si>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</si>
  <si>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</si>
  <si>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</si>
  <si>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</si>
  <si>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</si>
  <si>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</si>
  <si>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</si>
  <si>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</si>
  <si>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</si>
  <si>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</si>
  <si>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</si>
  <si>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</si>
  <si>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</si>
  <si>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</si>
  <si>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</si>
  <si>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</si>
  <si>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</si>
  <si>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</si>
  <si>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</si>
  <si>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</si>
  <si>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</si>
  <si>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</si>
  <si>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</si>
  <si>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</si>
  <si>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</si>
  <si>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</si>
  <si>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</si>
  <si>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</si>
  <si>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</si>
  <si>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</si>
  <si>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</si>
  <si>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</si>
  <si>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</si>
  <si>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</si>
  <si>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</si>
  <si>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</si>
  <si>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</si>
  <si>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</si>
  <si>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</si>
  <si>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</si>
  <si>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</si>
  <si>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</si>
  <si>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</si>
  <si>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</si>
  <si>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</si>
  <si>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</si>
  <si>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</si>
  <si>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</si>
  <si>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</si>
  <si>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</si>
  <si>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</si>
  <si>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</si>
  <si>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</si>
  <si>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</si>
  <si>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</si>
  <si>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</si>
  <si>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</si>
  <si>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</si>
  <si>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</si>
  <si>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</si>
  <si>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</si>
  <si>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</si>
  <si>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</si>
  <si>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</si>
  <si>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</si>
  <si>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</si>
  <si>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</si>
  <si>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</si>
  <si>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</si>
  <si>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</si>
  <si>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</si>
  <si>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</si>
  <si>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</si>
  <si>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</si>
  <si>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</si>
  <si>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</si>
  <si>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</si>
  <si>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</si>
  <si>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</si>
  <si>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</si>
  <si>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</si>
  <si>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</si>
  <si>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</si>
  <si>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</si>
  <si>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</si>
  <si>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</si>
  <si>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</si>
  <si>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</si>
  <si>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</si>
  <si>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</si>
  <si>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</si>
  <si>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</si>
  <si>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</si>
  <si>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</si>
  <si>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</si>
  <si>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</si>
  <si>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</si>
  <si>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</si>
  <si>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</si>
  <si>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</si>
  <si>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</si>
  <si>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</si>
  <si>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</si>
  <si>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</si>
  <si>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</si>
  <si>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</si>
  <si>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</si>
  <si>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</si>
  <si>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</si>
  <si>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</si>
  <si>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</si>
  <si>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</si>
  <si>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</si>
  <si>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</si>
  <si>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</si>
  <si>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</si>
  <si>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</si>
  <si>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</si>
  <si>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</si>
  <si>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</si>
  <si>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</si>
  <si>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</si>
  <si>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</si>
  <si>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</si>
  <si>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</si>
  <si>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</si>
  <si>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</si>
  <si>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</si>
  <si>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</si>
  <si>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</si>
  <si>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</si>
  <si>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</si>
  <si>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</si>
  <si>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</si>
  <si>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</si>
  <si>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</si>
  <si>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</si>
  <si>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</si>
  <si>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</si>
  <si>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</si>
  <si>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</si>
  <si>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</si>
  <si>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</si>
  <si>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</si>
  <si>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</si>
  <si>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</si>
  <si>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</si>
  <si>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</si>
  <si>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</si>
  <si>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</si>
  <si>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</si>
  <si>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</si>
  <si>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</si>
  <si>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</si>
  <si>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</si>
  <si>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</si>
  <si>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</si>
  <si>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</si>
  <si>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</si>
  <si>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</si>
  <si>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</si>
  <si>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</si>
  <si>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</si>
  <si>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</si>
  <si>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</si>
  <si>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</si>
  <si>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</si>
  <si>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</si>
  <si>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</si>
  <si>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</si>
  <si>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</si>
  <si>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</si>
  <si>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</si>
  <si>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</si>
  <si>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</si>
  <si>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</si>
  <si>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</si>
  <si>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</si>
  <si>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</si>
  <si>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</si>
  <si>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</si>
  <si>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</si>
  <si>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</si>
  <si>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</si>
  <si>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</si>
  <si>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</si>
  <si>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</si>
  <si>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</si>
  <si>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</si>
  <si>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</si>
  <si>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</si>
  <si>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</si>
  <si>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</si>
  <si>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</si>
  <si>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</si>
  <si>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</si>
  <si>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</si>
  <si>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</si>
  <si>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</si>
  <si>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</si>
  <si>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</si>
  <si>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</si>
  <si>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</si>
  <si>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</si>
  <si>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</si>
  <si>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</si>
  <si>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</si>
  <si>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</si>
  <si>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</si>
  <si>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</si>
  <si>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</si>
  <si>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</si>
  <si>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</si>
  <si>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</si>
  <si>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</si>
  <si>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</si>
  <si>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</si>
  <si>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</si>
  <si>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</si>
  <si>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</si>
  <si>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</si>
  <si>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</si>
  <si>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</si>
  <si>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</si>
  <si>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</si>
  <si>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</si>
  <si>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</si>
  <si>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</si>
  <si>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</si>
  <si>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</si>
  <si>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</si>
  <si>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</si>
  <si>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</si>
  <si>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</si>
  <si>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</si>
  <si>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</si>
  <si>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</si>
  <si>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</si>
  <si>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</si>
  <si>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</si>
  <si>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</si>
  <si>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</si>
  <si>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</si>
  <si>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</si>
  <si>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</si>
  <si>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</si>
  <si>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</si>
  <si>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</si>
  <si>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</si>
  <si>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</si>
  <si>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</si>
  <si>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</si>
  <si>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</si>
  <si>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</si>
  <si>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</si>
  <si>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</si>
  <si>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</si>
  <si>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</si>
  <si>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</si>
  <si>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</si>
  <si>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</si>
  <si>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</si>
  <si>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</si>
  <si>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</si>
  <si>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</si>
  <si>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</si>
  <si>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</si>
  <si>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</si>
  <si>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</si>
  <si>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</si>
  <si>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</si>
  <si>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</si>
  <si>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</si>
  <si>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</si>
  <si>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</si>
  <si>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</si>
  <si>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</si>
  <si>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</si>
  <si>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</si>
  <si>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</si>
  <si>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</si>
  <si>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</si>
  <si>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</si>
  <si>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</si>
  <si>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</si>
  <si>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</si>
  <si>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</si>
  <si>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</si>
  <si>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</si>
  <si>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</si>
  <si>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</si>
  <si>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</si>
  <si>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</si>
  <si>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</si>
  <si>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</si>
  <si>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</si>
  <si>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</si>
  <si>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</si>
  <si>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</si>
  <si>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</si>
  <si>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</si>
  <si>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</si>
  <si>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</si>
  <si>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</si>
  <si>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</si>
  <si>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</si>
  <si>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</si>
  <si>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</si>
  <si>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</si>
  <si>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</si>
  <si>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</si>
  <si>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</si>
  <si>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</si>
  <si>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</si>
  <si>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</si>
  <si>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</si>
  <si>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</si>
  <si>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</si>
  <si>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</si>
  <si>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</si>
  <si>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</si>
  <si>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</si>
  <si>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</si>
  <si>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</si>
  <si>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</si>
  <si>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</si>
  <si>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</si>
  <si>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</si>
  <si>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</si>
  <si>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</si>
  <si>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</si>
  <si>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</si>
  <si>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</si>
  <si>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</si>
  <si>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</si>
  <si>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</si>
  <si>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</si>
  <si>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</si>
  <si>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</si>
  <si>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</si>
  <si>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</si>
  <si>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</si>
  <si>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</si>
  <si>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</si>
  <si>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</si>
  <si>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</si>
  <si>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</si>
  <si>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</si>
  <si>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</si>
  <si>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</si>
  <si>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</si>
  <si>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</si>
  <si>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</si>
  <si>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</si>
  <si>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</si>
  <si>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</si>
  <si>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</si>
  <si>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</si>
  <si>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</si>
  <si>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</si>
  <si>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</si>
  <si>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</si>
  <si>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</si>
  <si>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</si>
  <si>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</si>
  <si>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</si>
  <si>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</si>
  <si>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</si>
  <si>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</si>
  <si>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</si>
  <si>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</si>
  <si>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</si>
  <si>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</si>
  <si>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</si>
  <si>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</si>
  <si>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</si>
  <si>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</si>
  <si>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</si>
  <si>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</si>
  <si>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</si>
  <si>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</si>
  <si>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</si>
  <si>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</si>
  <si>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</si>
  <si>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</si>
  <si>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</si>
  <si>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</si>
  <si>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</si>
  <si>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</si>
  <si>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</si>
  <si>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</si>
  <si>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</si>
  <si>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</si>
  <si>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</si>
  <si>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</si>
  <si>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</si>
  <si>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</si>
  <si>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</si>
  <si>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</si>
  <si>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</si>
  <si>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</si>
  <si>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</si>
  <si>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</si>
  <si>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</si>
  <si>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</si>
  <si>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</si>
  <si>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</si>
  <si>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</si>
  <si>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</si>
  <si>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</si>
  <si>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</si>
  <si>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</si>
  <si>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</si>
  <si>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</si>
  <si>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</si>
  <si>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</si>
  <si>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</si>
  <si>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</si>
  <si>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</si>
  <si>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</si>
  <si>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</si>
  <si>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</si>
  <si>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</si>
  <si>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</si>
  <si>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</si>
  <si>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</si>
  <si>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</si>
  <si>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</si>
  <si>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</si>
  <si>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</si>
  <si>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</si>
  <si>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</si>
  <si>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</si>
  <si>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</si>
  <si>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</si>
  <si>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</si>
  <si>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</si>
  <si>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</si>
  <si>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</si>
  <si>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</si>
  <si>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</si>
  <si>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</si>
  <si>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</si>
  <si>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</si>
  <si>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</si>
  <si>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</si>
  <si>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</si>
  <si>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</si>
  <si>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</si>
  <si>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</si>
  <si>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</si>
  <si>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</si>
  <si>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</si>
  <si>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</si>
  <si>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</si>
  <si>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</si>
  <si>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</si>
  <si>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</si>
  <si>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</si>
  <si>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</si>
  <si>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</si>
  <si>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</si>
  <si>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</si>
  <si>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</si>
  <si>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</si>
  <si>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</si>
  <si>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</si>
  <si>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</si>
  <si>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</si>
  <si>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</si>
  <si>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</si>
  <si>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</si>
  <si>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</si>
  <si>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</si>
  <si>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</si>
  <si>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</si>
  <si>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</si>
  <si>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</si>
  <si>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</si>
  <si>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</si>
  <si>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</si>
  <si>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</si>
  <si>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</si>
  <si>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</si>
  <si>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</si>
  <si>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</si>
  <si>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</si>
  <si>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</si>
  <si>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</si>
  <si>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</si>
  <si>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</si>
  <si>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</si>
  <si>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</si>
  <si>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</si>
  <si>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</si>
  <si>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</si>
  <si>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</si>
  <si>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</si>
  <si>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</si>
  <si>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</si>
  <si>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</si>
  <si>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</si>
  <si>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</si>
  <si>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</si>
  <si>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</si>
  <si>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</si>
  <si>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</si>
  <si>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</si>
  <si>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</si>
  <si>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</si>
  <si>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</si>
  <si>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</si>
  <si>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</si>
  <si>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</si>
  <si>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</si>
  <si>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</si>
  <si>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</si>
  <si>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</si>
  <si>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</si>
  <si>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</si>
  <si>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</si>
  <si>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</si>
  <si>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</si>
  <si>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</si>
  <si>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</si>
  <si>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</si>
  <si>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</si>
  <si>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</si>
  <si>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</si>
  <si>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</si>
  <si>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</si>
  <si>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</si>
  <si>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</si>
  <si>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</si>
  <si>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</si>
  <si>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</si>
  <si>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</si>
  <si>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</si>
  <si>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</si>
  <si>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</si>
  <si>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</si>
  <si>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</si>
  <si>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</si>
  <si>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</si>
  <si>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</si>
  <si>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</si>
  <si>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</si>
  <si>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</si>
  <si>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</si>
  <si>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</si>
  <si>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</si>
  <si>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</si>
  <si>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</si>
  <si>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</si>
  <si>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</si>
  <si>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</si>
  <si>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</si>
  <si>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</si>
  <si>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</si>
  <si>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</si>
  <si>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</si>
  <si>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</si>
  <si>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</si>
  <si>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</si>
  <si>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</si>
  <si>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</si>
  <si>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</si>
  <si>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</si>
  <si>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</si>
  <si>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</si>
  <si>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</si>
  <si>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</si>
  <si>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</si>
  <si>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</si>
  <si>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</si>
  <si>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</si>
  <si>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</si>
  <si>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</si>
  <si>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</si>
  <si>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</si>
  <si>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</si>
  <si>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</si>
  <si>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</si>
  <si>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</si>
  <si>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</si>
  <si>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</si>
  <si>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</si>
  <si>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</si>
  <si>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</si>
  <si>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</si>
  <si>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</si>
  <si>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</si>
  <si>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</si>
  <si>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</si>
  <si>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</si>
  <si>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</si>
  <si>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</si>
  <si>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</si>
  <si>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</si>
  <si>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</si>
  <si>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</si>
  <si>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</si>
  <si>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</si>
  <si>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</si>
  <si>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</si>
  <si>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</si>
  <si>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</si>
  <si>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</si>
  <si>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</si>
  <si>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</si>
  <si>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</si>
  <si>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</si>
  <si>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</si>
  <si>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</si>
  <si>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</si>
  <si>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</si>
  <si>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</si>
  <si>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</si>
  <si>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</si>
  <si>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</si>
  <si>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</si>
  <si>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</si>
  <si>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</si>
  <si>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</si>
  <si>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</si>
  <si>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</si>
  <si>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</si>
  <si>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</si>
  <si>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</si>
  <si>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</si>
  <si>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</si>
  <si>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</si>
  <si>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</si>
  <si>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</si>
  <si>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</si>
  <si>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</si>
  <si>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</si>
  <si>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</si>
  <si>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</si>
  <si>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</si>
  <si>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</si>
  <si>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</si>
  <si>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</si>
  <si>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</si>
  <si>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</si>
  <si>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</si>
  <si>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</si>
  <si>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</si>
  <si>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</si>
  <si>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</si>
  <si>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</si>
  <si>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</si>
  <si>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</si>
  <si>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</si>
  <si>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</si>
  <si>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</si>
  <si>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</si>
  <si>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</si>
  <si>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</si>
  <si>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</si>
  <si>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</si>
  <si>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</si>
  <si>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</si>
  <si>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</si>
  <si>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</si>
  <si>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</si>
  <si>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</si>
  <si>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</si>
  <si>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</si>
  <si>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</si>
  <si>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</si>
  <si>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</si>
  <si>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</si>
  <si>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</si>
  <si>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</si>
  <si>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</si>
  <si>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</si>
  <si>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</si>
  <si>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</si>
  <si>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</si>
  <si>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</si>
  <si>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</si>
  <si>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</si>
  <si>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</si>
  <si>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</si>
  <si>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</si>
  <si>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</si>
  <si>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</si>
  <si>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</si>
  <si>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</si>
  <si>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</si>
  <si>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</si>
  <si>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</si>
  <si>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</si>
  <si>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</si>
  <si>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</si>
  <si>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</si>
  <si>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</si>
  <si>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</si>
  <si>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</si>
  <si>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</si>
  <si>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</si>
  <si>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</si>
  <si>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</si>
  <si>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</si>
  <si>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</si>
  <si>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</si>
  <si>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</si>
  <si>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</si>
  <si>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</si>
  <si>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</si>
  <si>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</si>
  <si>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</si>
  <si>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</si>
  <si>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</si>
  <si>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</si>
  <si>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</si>
  <si>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</si>
  <si>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</si>
  <si>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</si>
  <si>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</si>
  <si>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</si>
  <si>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</si>
  <si>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</si>
  <si>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</si>
  <si>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</si>
  <si>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</si>
  <si>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</si>
  <si>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</si>
  <si>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</si>
  <si>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</si>
  <si>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</si>
  <si>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</si>
  <si>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</si>
  <si>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</si>
  <si>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</si>
  <si>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</si>
  <si>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</si>
  <si>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</si>
  <si>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</si>
  <si>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</si>
  <si>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</si>
  <si>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</si>
  <si>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</si>
  <si>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</si>
  <si>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</si>
  <si>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</si>
  <si>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</si>
  <si>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</si>
  <si>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</si>
  <si>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</si>
  <si>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</si>
  <si>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</si>
  <si>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</si>
  <si>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</si>
  <si>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</si>
  <si>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</si>
  <si>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</si>
  <si>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</si>
  <si>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</si>
  <si>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</si>
  <si>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</si>
  <si>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</si>
  <si>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</si>
  <si>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</si>
  <si>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</si>
  <si>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</si>
  <si>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</si>
  <si>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</si>
  <si>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</si>
  <si>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</si>
  <si>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</si>
  <si>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</si>
  <si>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</si>
  <si>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</si>
  <si>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</si>
  <si>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</si>
  <si>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</si>
  <si>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</si>
  <si>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</si>
  <si>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</si>
  <si>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</si>
  <si>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</si>
  <si>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</si>
  <si>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</si>
  <si>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</si>
  <si>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</si>
  <si>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</si>
  <si>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</si>
  <si>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</si>
  <si>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</si>
  <si>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</si>
  <si>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</si>
  <si>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</si>
  <si>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</si>
  <si>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</si>
  <si>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</si>
  <si>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</si>
  <si>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</si>
  <si>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</si>
  <si>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</si>
  <si>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</si>
  <si>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</si>
  <si>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</si>
  <si>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</si>
  <si>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</si>
  <si>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</si>
  <si>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</si>
  <si>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</si>
  <si>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</si>
  <si>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</si>
  <si>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</si>
  <si>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</si>
  <si>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</si>
  <si>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</si>
  <si>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</si>
  <si>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</si>
  <si>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</si>
  <si>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</si>
  <si>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</si>
  <si>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</si>
  <si>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</si>
  <si>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</si>
  <si>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</si>
  <si>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</si>
  <si>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</si>
  <si>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</si>
  <si>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</si>
  <si>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</si>
  <si>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</si>
  <si>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</si>
  <si>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</si>
  <si>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</si>
  <si>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</si>
  <si>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</si>
  <si>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</si>
  <si>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</si>
  <si>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</si>
  <si>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</si>
  <si>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</si>
  <si>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</si>
  <si>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</si>
  <si>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</si>
  <si>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</si>
  <si>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</si>
  <si>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</si>
  <si>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</si>
  <si>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</si>
  <si>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</si>
  <si>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</si>
  <si>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</si>
  <si>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</si>
  <si>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</si>
  <si>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</si>
  <si>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</si>
  <si>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</si>
  <si>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</si>
  <si>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</si>
  <si>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</si>
  <si>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</si>
  <si>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</si>
  <si>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</si>
  <si>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</si>
  <si>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</si>
  <si>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</si>
  <si>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</si>
  <si>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</si>
  <si>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</si>
  <si>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</si>
  <si>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</si>
  <si>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</si>
  <si>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</si>
  <si>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</si>
  <si>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</si>
  <si>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</si>
  <si>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</si>
  <si>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</si>
  <si>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</si>
  <si>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</si>
  <si>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</si>
  <si>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</si>
  <si>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</si>
  <si>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</si>
  <si>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</si>
  <si>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</si>
  <si>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</si>
  <si>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</si>
  <si>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</si>
  <si>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</si>
  <si>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</si>
  <si>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</si>
  <si>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</si>
  <si>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</si>
  <si>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</si>
  <si>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</si>
  <si>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</si>
  <si>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</si>
  <si>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</si>
  <si>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</si>
  <si>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</si>
  <si>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</si>
  <si>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</si>
  <si>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</si>
  <si>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</si>
  <si>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</si>
  <si>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</si>
  <si>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</si>
  <si>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</si>
  <si>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</si>
  <si>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</si>
  <si>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</si>
  <si>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</si>
  <si>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</si>
  <si>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</si>
  <si>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</si>
  <si>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</si>
  <si>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</si>
  <si>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</si>
  <si>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</si>
  <si>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</si>
  <si>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</si>
  <si>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</si>
  <si>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</si>
  <si>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</si>
  <si>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</si>
  <si>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</si>
  <si>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</si>
  <si>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</si>
  <si>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</si>
  <si>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</si>
  <si>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</si>
  <si>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</si>
  <si>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</si>
  <si>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</si>
  <si>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</si>
  <si>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</si>
  <si>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</si>
  <si>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</si>
  <si>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</si>
  <si>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</si>
  <si>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</si>
  <si>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</si>
  <si>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</si>
  <si>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</si>
  <si>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</si>
  <si>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</si>
  <si>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</si>
  <si>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</si>
  <si>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</si>
  <si>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</si>
  <si>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</si>
  <si>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</si>
  <si>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</si>
  <si>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</si>
  <si>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</si>
  <si>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</si>
  <si>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</si>
  <si>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</si>
  <si>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</si>
  <si>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</si>
  <si>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</si>
  <si>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</si>
  <si>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</si>
  <si>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</si>
  <si>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</si>
  <si>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</si>
  <si>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</si>
  <si>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</si>
  <si>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</si>
  <si>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</si>
  <si>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</si>
  <si>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</si>
  <si>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</si>
  <si>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</si>
  <si>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</si>
  <si>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</si>
  <si>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</si>
  <si>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</si>
  <si>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</si>
  <si>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</si>
  <si>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</si>
  <si>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</si>
  <si>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</si>
  <si>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</si>
  <si>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</si>
  <si>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</si>
  <si>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</si>
  <si>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</si>
  <si>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</si>
  <si>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</si>
  <si>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</si>
  <si>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</si>
  <si>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</si>
  <si>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</si>
  <si>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</si>
  <si>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</si>
  <si>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</si>
  <si>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</si>
  <si>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</si>
  <si>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</si>
  <si>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</si>
  <si>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</si>
  <si>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</si>
  <si>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</si>
  <si>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</si>
  <si>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</si>
  <si>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</si>
  <si>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</si>
  <si>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</si>
  <si>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</si>
  <si>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</si>
  <si>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</si>
  <si>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</si>
  <si>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</si>
  <si>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</si>
  <si>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</si>
  <si>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</si>
  <si>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</si>
  <si>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</si>
  <si>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</si>
  <si>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</si>
  <si>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</si>
  <si>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</si>
  <si>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</si>
  <si>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</si>
  <si>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</si>
  <si>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</si>
  <si>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</si>
  <si>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</si>
  <si>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</si>
  <si>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</si>
  <si>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</si>
  <si>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</si>
  <si>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</si>
  <si>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</si>
  <si>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</si>
  <si>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</si>
  <si>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</si>
  <si>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</si>
  <si>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</si>
  <si>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</si>
  <si>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</si>
  <si>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</si>
  <si>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</si>
  <si>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</si>
  <si>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</si>
  <si>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</si>
  <si>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</si>
  <si>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</si>
  <si>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</si>
  <si>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</si>
  <si>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</si>
  <si>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</si>
  <si>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</si>
  <si>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</si>
  <si>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</si>
  <si>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</si>
  <si>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</si>
  <si>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</si>
  <si>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</si>
  <si>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</si>
  <si>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</si>
  <si>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</si>
  <si>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</si>
  <si>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</si>
  <si>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</si>
  <si>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</si>
  <si>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</si>
  <si>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</si>
  <si>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</si>
  <si>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</si>
  <si>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</si>
  <si>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</si>
  <si>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</si>
  <si>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</si>
  <si>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</si>
  <si>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</si>
  <si>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</si>
  <si>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</si>
  <si>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</si>
  <si>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</si>
  <si>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</si>
  <si>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</si>
  <si>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</si>
  <si>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</si>
  <si>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</si>
  <si>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</si>
  <si>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</si>
  <si>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</si>
  <si>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</si>
  <si>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</si>
  <si>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</si>
  <si>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</si>
  <si>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</si>
  <si>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</si>
  <si>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</si>
  <si>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</si>
  <si>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</si>
  <si>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</si>
  <si>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</si>
  <si>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</si>
  <si>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</si>
  <si>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</si>
  <si>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</si>
  <si>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</si>
  <si>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</si>
  <si>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</si>
  <si>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</si>
  <si>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</si>
  <si>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</si>
  <si>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</si>
  <si>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</si>
  <si>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</si>
  <si>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</si>
  <si>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</si>
  <si>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</si>
  <si>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</si>
  <si>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</si>
  <si>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</si>
  <si>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</si>
  <si>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</si>
  <si>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</si>
  <si>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</si>
  <si>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</si>
  <si>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</si>
  <si>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</si>
  <si>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</si>
  <si>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</si>
  <si>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</si>
  <si>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</si>
  <si>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</si>
  <si>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</si>
  <si>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</si>
  <si>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</si>
  <si>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</si>
  <si>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</si>
  <si>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</si>
  <si>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</si>
  <si>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</si>
  <si>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</si>
  <si>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</si>
  <si>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</si>
  <si>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</si>
  <si>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</si>
  <si>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</si>
  <si>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</si>
  <si>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</si>
  <si>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</si>
  <si>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</si>
  <si>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</si>
  <si>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</si>
  <si>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</si>
  <si>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</si>
  <si>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</si>
  <si>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</si>
  <si>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</si>
  <si>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</si>
  <si>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</si>
  <si>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</si>
  <si>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</si>
  <si>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</si>
  <si>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</si>
  <si>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</si>
  <si>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</si>
  <si>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</si>
  <si>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</si>
  <si>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</si>
  <si>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</si>
  <si>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</si>
  <si>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</si>
  <si>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</si>
  <si>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</si>
  <si>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</si>
  <si>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</si>
  <si>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</si>
  <si>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</si>
  <si>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</si>
  <si>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</si>
  <si>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</si>
  <si>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</si>
  <si>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</si>
  <si>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</si>
  <si>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</si>
  <si>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</si>
  <si>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</si>
  <si>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</si>
  <si>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</si>
  <si>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</si>
  <si>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</si>
  <si>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</si>
  <si>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</si>
  <si>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</si>
  <si>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</si>
  <si>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</si>
  <si>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</si>
  <si>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</si>
  <si>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</si>
  <si>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</si>
  <si>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</si>
  <si>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</si>
  <si>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</si>
  <si>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</si>
  <si>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</si>
  <si>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</si>
  <si>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</si>
  <si>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</si>
  <si>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</si>
  <si>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</si>
  <si>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</si>
  <si>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</si>
  <si>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</si>
  <si>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</si>
  <si>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</si>
  <si>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</si>
  <si>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</si>
  <si>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</si>
  <si>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</si>
  <si>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</si>
  <si>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</si>
  <si>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</si>
  <si>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</si>
  <si>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</si>
  <si>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</si>
  <si>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</si>
  <si>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</si>
  <si>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</si>
  <si>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</si>
  <si>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</si>
  <si>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</si>
  <si>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</si>
  <si>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</si>
  <si>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</si>
  <si>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</si>
  <si>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</si>
  <si>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</si>
  <si>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</si>
  <si>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</si>
  <si>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</si>
  <si>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</si>
  <si>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</si>
  <si>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</si>
  <si>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</si>
  <si>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</si>
  <si>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</si>
  <si>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</si>
  <si>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</si>
  <si>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</si>
  <si>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</si>
  <si>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</si>
  <si>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</si>
  <si>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</si>
  <si>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</si>
  <si>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</si>
  <si>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</si>
  <si>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</si>
  <si>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</si>
  <si>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</si>
  <si>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</si>
  <si>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</si>
  <si>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</si>
  <si>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</si>
  <si>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</si>
  <si>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</si>
  <si>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</si>
  <si>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</si>
  <si>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</si>
  <si>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</si>
  <si>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</si>
  <si>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</si>
  <si>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</si>
  <si>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</si>
  <si>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</si>
  <si>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</si>
  <si>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</si>
  <si>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</si>
  <si>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</si>
  <si>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</si>
  <si>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</si>
  <si>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</si>
  <si>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</si>
  <si>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</si>
  <si>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</si>
  <si>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</si>
  <si>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</si>
  <si>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</si>
  <si>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</si>
  <si>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</si>
  <si>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</si>
  <si>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</si>
  <si>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</si>
  <si>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</si>
  <si>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</si>
  <si>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</si>
  <si>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</si>
  <si>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</si>
  <si>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</si>
  <si>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</si>
  <si>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</si>
  <si>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</si>
  <si>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</si>
  <si>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</si>
  <si>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</si>
  <si>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</si>
  <si>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</si>
  <si>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</si>
  <si>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</si>
  <si>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</si>
  <si>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</si>
  <si>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</si>
  <si>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</si>
  <si>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</si>
  <si>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</si>
  <si>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</si>
  <si>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</si>
  <si>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</si>
  <si>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</si>
  <si>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</si>
  <si>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</si>
  <si>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</si>
  <si>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</si>
  <si>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</si>
  <si>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</si>
  <si>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</si>
  <si>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</si>
  <si>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</si>
  <si>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</si>
  <si>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</si>
  <si>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</si>
  <si>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</si>
  <si>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</si>
  <si>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</si>
  <si>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</si>
  <si>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</si>
  <si>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</si>
  <si>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</si>
  <si>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</si>
  <si>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</si>
  <si>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</si>
  <si>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</si>
  <si>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</si>
  <si>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</si>
  <si>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</si>
  <si>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</si>
  <si>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</si>
  <si>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</si>
  <si>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</si>
  <si>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</si>
  <si>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</si>
  <si>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</si>
  <si>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</si>
  <si>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</si>
  <si>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</si>
  <si>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</si>
  <si>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</si>
  <si>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</si>
  <si>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</si>
  <si>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</si>
  <si>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</si>
  <si>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</si>
  <si>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</si>
  <si>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</si>
  <si>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</si>
  <si>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</si>
  <si>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</si>
  <si>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</si>
  <si>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</si>
  <si>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</si>
  <si>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</si>
  <si>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</si>
  <si>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</si>
  <si>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</si>
  <si>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</si>
  <si>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</si>
  <si>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</si>
  <si>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</si>
  <si>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</si>
  <si>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</si>
  <si>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</si>
  <si>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</si>
  <si>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</si>
  <si>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</si>
  <si>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</si>
  <si>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</si>
  <si>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</si>
  <si>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</si>
  <si>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</si>
  <si>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</si>
  <si>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</si>
  <si>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</si>
  <si>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</si>
  <si>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</si>
  <si>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</si>
  <si>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</si>
  <si>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</si>
  <si>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</si>
  <si>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</si>
  <si>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</si>
  <si>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</si>
  <si>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</si>
  <si>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</si>
  <si>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</si>
  <si>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</si>
  <si>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</si>
  <si>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</si>
  <si>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</si>
  <si>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</si>
  <si>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</si>
  <si>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</si>
  <si>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</si>
  <si>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</si>
  <si>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</si>
  <si>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</si>
  <si>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</si>
  <si>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</si>
  <si>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</si>
  <si>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</si>
  <si>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</si>
  <si>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</si>
  <si>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</si>
  <si>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</si>
  <si>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</si>
  <si>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</si>
  <si>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</si>
  <si>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</si>
  <si>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</si>
  <si>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</si>
  <si>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</si>
  <si>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</si>
  <si>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</si>
  <si>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</si>
  <si>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</si>
  <si>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</si>
  <si>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</si>
  <si>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</si>
  <si>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</si>
  <si>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</si>
  <si>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</si>
  <si>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</si>
  <si>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</si>
  <si>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</si>
  <si>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</si>
  <si>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</si>
  <si>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</si>
  <si>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</si>
  <si>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</si>
  <si>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</si>
  <si>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</si>
  <si>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</si>
  <si>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</si>
  <si>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</si>
  <si>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</si>
  <si>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</si>
  <si>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</si>
  <si>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</si>
  <si>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</si>
  <si>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</si>
  <si>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</si>
  <si>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</si>
  <si>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</si>
  <si>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</si>
  <si>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</si>
  <si>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</si>
  <si>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</si>
  <si>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</si>
  <si>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</si>
  <si>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</si>
  <si>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</si>
  <si>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</si>
  <si>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</si>
  <si>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</si>
  <si>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</si>
  <si>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</si>
  <si>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</si>
  <si>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</si>
  <si>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</si>
  <si>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</si>
  <si>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</si>
  <si>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</si>
  <si>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</si>
  <si>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</si>
  <si>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</si>
  <si>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</si>
  <si>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</si>
  <si>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</si>
  <si>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</si>
  <si>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</si>
  <si>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</si>
  <si>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</si>
  <si>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</si>
  <si>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</si>
  <si>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</si>
  <si>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</si>
  <si>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</si>
  <si>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</si>
  <si>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</si>
  <si>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</si>
  <si>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</si>
  <si>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</si>
  <si>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</si>
  <si>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</si>
  <si>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</si>
  <si>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</si>
  <si>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</si>
  <si>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</si>
  <si>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</si>
  <si>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</si>
  <si>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</si>
  <si>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</si>
  <si>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</si>
  <si>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</si>
  <si>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</si>
  <si>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</si>
  <si>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</si>
  <si>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</si>
  <si>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</si>
  <si>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</si>
  <si>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</si>
  <si>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</si>
  <si>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</si>
  <si>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</si>
  <si>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</si>
  <si>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</si>
  <si>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</si>
  <si>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</si>
  <si>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</si>
  <si>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</si>
  <si>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</si>
  <si>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</si>
  <si>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</si>
  <si>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</si>
  <si>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</si>
  <si>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</si>
  <si>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</si>
  <si>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</si>
  <si>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</si>
  <si>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</si>
  <si>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</si>
  <si>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</si>
  <si>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</si>
  <si>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</si>
  <si>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</si>
  <si>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</si>
  <si>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</si>
  <si>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</si>
  <si>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</si>
  <si>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</si>
  <si>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</si>
  <si>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</si>
  <si>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</si>
  <si>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</si>
  <si>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</si>
  <si>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</si>
  <si>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</si>
  <si>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</si>
  <si>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</si>
  <si>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</si>
  <si>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</si>
  <si>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</si>
  <si>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</si>
  <si>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</si>
  <si>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</si>
  <si>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</si>
  <si>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</si>
  <si>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</si>
  <si>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</si>
  <si>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</si>
  <si>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</si>
  <si>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</si>
  <si>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</si>
  <si>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</si>
  <si>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</si>
  <si>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</si>
  <si>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</si>
  <si>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</si>
  <si>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</si>
  <si>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</si>
  <si>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</si>
  <si>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</si>
  <si>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</si>
  <si>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</si>
  <si>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</si>
  <si>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</si>
  <si>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</si>
  <si>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</si>
  <si>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</si>
  <si>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</si>
  <si>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</si>
  <si>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</si>
  <si>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</si>
  <si>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</si>
  <si>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</si>
  <si>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</si>
  <si>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</si>
  <si>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</si>
  <si>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</si>
  <si>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</si>
  <si>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</si>
  <si>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</si>
  <si>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</si>
  <si>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</si>
  <si>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</si>
  <si>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</si>
  <si>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</si>
  <si>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</si>
  <si>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</si>
  <si>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</si>
  <si>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</si>
  <si>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</si>
  <si>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</si>
  <si>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</si>
  <si>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</si>
  <si>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</si>
  <si>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</si>
  <si>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</si>
  <si>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</si>
  <si>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</si>
  <si>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</si>
  <si>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</si>
  <si>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</si>
  <si>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</si>
  <si>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</si>
  <si>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</si>
  <si>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</si>
  <si>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</si>
  <si>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</si>
  <si>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</si>
  <si>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</si>
  <si>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</si>
  <si>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</si>
  <si>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</si>
  <si>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</si>
  <si>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</si>
  <si>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</si>
  <si>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</si>
  <si>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</si>
  <si>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</si>
  <si>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</si>
  <si>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</si>
  <si>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</si>
  <si>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</si>
  <si>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</si>
  <si>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</si>
  <si>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</si>
  <si>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</si>
  <si>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</si>
  <si>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</si>
  <si>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</si>
  <si>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</si>
  <si>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</si>
  <si>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</si>
  <si>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</si>
  <si>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</si>
  <si>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</si>
  <si>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</si>
  <si>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</si>
  <si>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</si>
  <si>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</si>
  <si>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</si>
  <si>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</si>
  <si>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</si>
  <si>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</si>
  <si>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</si>
  <si>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</si>
  <si>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</si>
  <si>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</si>
  <si>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</si>
  <si>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</si>
  <si>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</si>
  <si>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</si>
  <si>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</si>
  <si>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</si>
  <si>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</si>
  <si>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</si>
  <si>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</si>
  <si>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</si>
  <si>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</si>
  <si>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</si>
  <si>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</si>
  <si>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</si>
  <si>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</si>
  <si>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</si>
  <si>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</si>
  <si>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</si>
  <si>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</si>
  <si>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</si>
  <si>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</si>
  <si>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</si>
  <si>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</si>
  <si>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</si>
  <si>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</si>
  <si>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</si>
  <si>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</si>
  <si>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</si>
  <si>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</si>
  <si>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</si>
  <si>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</si>
  <si>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</si>
  <si>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</si>
  <si>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</si>
  <si>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</si>
  <si>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</si>
  <si>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</si>
  <si>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</si>
  <si>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</si>
  <si>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</si>
  <si>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</si>
  <si>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</si>
  <si>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</si>
  <si>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</si>
  <si>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</si>
  <si>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</si>
  <si>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</si>
  <si>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</si>
  <si>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</si>
  <si>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</si>
  <si>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</si>
  <si>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</si>
  <si>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</si>
  <si>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</si>
  <si>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</si>
  <si>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</si>
  <si>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</si>
  <si>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</si>
  <si>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</si>
  <si>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</si>
  <si>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</si>
  <si>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</si>
  <si>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</si>
  <si>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</si>
  <si>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</si>
  <si>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</si>
  <si>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</si>
  <si>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</si>
  <si>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</si>
  <si>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</si>
  <si>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</si>
  <si>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</si>
  <si>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</si>
  <si>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</si>
  <si>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</si>
  <si>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</si>
  <si>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</si>
  <si>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</si>
  <si>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</si>
  <si>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</si>
  <si>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</si>
  <si>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</si>
  <si>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</si>
  <si>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</si>
  <si>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</si>
  <si>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</si>
  <si>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</si>
  <si>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</si>
  <si>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</si>
  <si>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</si>
  <si>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</si>
  <si>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</si>
  <si>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</si>
  <si>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</si>
  <si>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</si>
  <si>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</si>
  <si>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</si>
  <si>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</si>
  <si>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</si>
  <si>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</si>
  <si>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</si>
  <si>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</si>
  <si>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</si>
  <si>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</si>
  <si>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</si>
  <si>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</si>
  <si>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</si>
  <si>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</si>
  <si>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</si>
  <si>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</si>
  <si>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</si>
  <si>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</si>
  <si>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</si>
  <si>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</si>
  <si>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</si>
  <si>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</si>
  <si>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</si>
  <si>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</si>
  <si>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</si>
  <si>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</si>
  <si>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</si>
  <si>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</si>
  <si>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</si>
  <si>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</si>
  <si>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</si>
  <si>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</si>
  <si>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</si>
  <si>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</si>
  <si>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</si>
  <si>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</si>
  <si>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</si>
  <si>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</si>
  <si>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</si>
  <si>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</si>
  <si>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</si>
  <si>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</si>
  <si>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</si>
  <si>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</si>
  <si>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</si>
  <si>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</si>
  <si>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</si>
  <si>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</si>
  <si>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</si>
  <si>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</si>
  <si>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</si>
  <si>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</si>
  <si>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</si>
  <si>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</si>
  <si>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</si>
  <si>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</si>
  <si>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</si>
  <si>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</si>
  <si>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</si>
  <si>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</si>
  <si>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</si>
  <si>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</si>
  <si>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</si>
  <si>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</si>
  <si>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</si>
  <si>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</si>
  <si>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</si>
  <si>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</si>
  <si>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</si>
  <si>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</si>
  <si>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</si>
  <si>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</si>
  <si>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</si>
  <si>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</si>
  <si>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</si>
  <si>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</si>
  <si>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</si>
  <si>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</si>
  <si>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</si>
  <si>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</si>
  <si>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</si>
  <si>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</si>
  <si>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</si>
  <si>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</si>
  <si>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</si>
  <si>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</si>
  <si>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</si>
  <si>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</si>
  <si>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</si>
  <si>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</si>
  <si>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</si>
  <si>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</si>
  <si>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</si>
  <si>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</si>
  <si>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</si>
  <si>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</si>
  <si>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</si>
  <si>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</si>
  <si>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</si>
  <si>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</si>
  <si>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</si>
  <si>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</si>
  <si>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</si>
  <si>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</si>
  <si>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</si>
  <si>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</si>
  <si>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</si>
  <si>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</si>
  <si>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</si>
  <si>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</si>
  <si>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</si>
  <si>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</si>
  <si>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</si>
  <si>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</si>
  <si>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</si>
  <si>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</si>
  <si>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</si>
  <si>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</si>
  <si>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</si>
  <si>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</si>
  <si>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</si>
  <si>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</si>
  <si>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</si>
  <si>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</si>
  <si>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</si>
  <si>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</si>
  <si>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</si>
  <si>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</si>
  <si>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</si>
  <si>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</si>
  <si>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</si>
  <si>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</si>
  <si>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</si>
  <si>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</si>
  <si>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</si>
  <si>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</si>
  <si>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</si>
  <si>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</si>
  <si>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</si>
  <si>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</si>
  <si>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</si>
  <si>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</si>
  <si>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</si>
  <si>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</si>
  <si>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</si>
  <si>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</si>
  <si>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</si>
  <si>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</si>
  <si>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</si>
  <si>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</si>
  <si>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</si>
  <si>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</si>
  <si>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</si>
  <si>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</si>
  <si>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</si>
  <si>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</si>
  <si>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</si>
  <si>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</si>
  <si>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</si>
  <si>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</si>
  <si>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</si>
  <si>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</si>
  <si>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</si>
  <si>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</si>
  <si>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</si>
  <si>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</si>
  <si>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</si>
  <si>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</si>
  <si>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</si>
  <si>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</si>
  <si>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</si>
  <si>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</si>
  <si>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</si>
  <si>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</si>
  <si>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</si>
  <si>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</si>
  <si>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</si>
  <si>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</si>
  <si>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</si>
  <si>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</si>
  <si>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</si>
  <si>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</si>
  <si>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</si>
  <si>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</si>
  <si>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</si>
  <si>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</si>
  <si>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</si>
  <si>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</si>
  <si>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</si>
  <si>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</si>
  <si>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</si>
  <si>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</si>
  <si>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</si>
  <si>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</si>
  <si>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</si>
  <si>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</si>
  <si>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</si>
  <si>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</si>
  <si>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</si>
  <si>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</si>
  <si>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</si>
  <si>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</si>
  <si>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</si>
  <si>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</si>
  <si>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</si>
  <si>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</si>
  <si>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</si>
  <si>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</si>
  <si>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</si>
  <si>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</si>
  <si>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</si>
  <si>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</si>
  <si>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</si>
  <si>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</si>
  <si>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</si>
  <si>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</si>
  <si>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</si>
  <si>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</si>
  <si>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</si>
  <si>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</si>
  <si>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</si>
  <si>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</si>
  <si>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</si>
  <si>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</si>
  <si>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</si>
  <si>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</si>
  <si>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</si>
  <si>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</si>
  <si>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</si>
  <si>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</si>
  <si>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</si>
  <si>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</si>
  <si>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</si>
  <si>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</si>
  <si>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</si>
  <si>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</si>
  <si>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</si>
  <si>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</si>
  <si>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</si>
  <si>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</si>
  <si>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</si>
  <si>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</si>
  <si>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</si>
  <si>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</si>
  <si>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</si>
  <si>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</si>
  <si>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</si>
  <si>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</si>
  <si>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</si>
  <si>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</si>
  <si>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</si>
  <si>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</si>
  <si>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</si>
  <si>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</si>
  <si>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</si>
  <si>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</si>
  <si>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</si>
  <si>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</si>
  <si>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</si>
  <si>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</si>
  <si>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</si>
  <si>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</si>
  <si>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</si>
  <si>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</si>
  <si>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</si>
  <si>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</si>
  <si>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</si>
  <si>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</si>
  <si>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</si>
  <si>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</si>
  <si>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</si>
  <si>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</si>
  <si>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</si>
  <si>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</si>
  <si>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</si>
  <si>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</si>
  <si>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</si>
  <si>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</si>
  <si>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</si>
  <si>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</si>
  <si>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</si>
  <si>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</si>
  <si>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</si>
  <si>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</si>
  <si>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</si>
  <si>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</si>
  <si>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</si>
  <si>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</si>
  <si>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</si>
  <si>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</si>
  <si>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</si>
  <si>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</si>
  <si>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</si>
  <si>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</si>
  <si>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</si>
  <si>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</si>
  <si>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</si>
  <si>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</si>
  <si>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</si>
  <si>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</si>
  <si>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</si>
  <si>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</si>
  <si>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</si>
  <si>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</si>
  <si>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</si>
  <si>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</si>
  <si>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</si>
  <si>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</si>
  <si>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</si>
  <si>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</si>
  <si>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</si>
  <si>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</si>
  <si>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</si>
  <si>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</si>
  <si>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</si>
  <si>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</si>
  <si>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</si>
  <si>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</si>
  <si>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</si>
  <si>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</si>
  <si>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</si>
  <si>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</si>
  <si>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</si>
  <si>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</si>
  <si>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</si>
  <si>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</si>
  <si>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</si>
  <si>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</si>
  <si>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</si>
  <si>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</si>
  <si>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</si>
  <si>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</si>
  <si>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</si>
  <si>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</si>
  <si>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</si>
  <si>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</si>
  <si>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</si>
  <si>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</si>
  <si>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</si>
  <si>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</si>
  <si>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</si>
  <si>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</si>
  <si>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</si>
  <si>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</si>
  <si>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</si>
  <si>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</si>
  <si>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</si>
  <si>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</si>
  <si>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</si>
  <si>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</si>
  <si>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</si>
  <si>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</si>
  <si>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</si>
  <si>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</si>
  <si>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</si>
  <si>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</si>
  <si>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</si>
  <si>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</si>
  <si>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</si>
  <si>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</si>
  <si>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</si>
  <si>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</si>
  <si>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</si>
  <si>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</si>
  <si>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</si>
  <si>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</si>
  <si>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</si>
  <si>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</si>
  <si>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</si>
  <si>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</si>
  <si>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</si>
  <si>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</si>
  <si>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</si>
  <si>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</si>
  <si>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</si>
  <si>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</si>
  <si>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</si>
  <si>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</si>
  <si>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</si>
  <si>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</si>
  <si>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</si>
  <si>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</si>
  <si>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</si>
  <si>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</si>
  <si>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</si>
  <si>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</si>
  <si>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</si>
  <si>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</si>
  <si>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</si>
  <si>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</si>
  <si>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</si>
  <si>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</si>
  <si>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</si>
  <si>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</si>
  <si>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</si>
  <si>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</si>
  <si>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</si>
  <si>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</si>
  <si>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</si>
  <si>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</si>
  <si>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</si>
  <si>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</si>
  <si>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</si>
  <si>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</si>
  <si>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</si>
  <si>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</si>
  <si>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</si>
  <si>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</si>
  <si>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</si>
  <si>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</si>
  <si>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</si>
  <si>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</si>
  <si>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</si>
  <si>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</si>
  <si>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</si>
  <si>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</si>
  <si>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</si>
  <si>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</si>
  <si>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</si>
  <si>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</si>
  <si>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</si>
  <si>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</si>
  <si>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</si>
  <si>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</si>
  <si>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</si>
  <si>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</si>
  <si>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</si>
  <si>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</si>
  <si>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</si>
  <si>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</si>
  <si>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</si>
  <si>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</si>
  <si>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</si>
  <si>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</si>
  <si>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</si>
  <si>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</si>
  <si>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</si>
  <si>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</si>
  <si>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</si>
  <si>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</si>
  <si>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</si>
  <si>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</si>
  <si>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</si>
  <si>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</si>
  <si>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</si>
  <si>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</si>
  <si>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</si>
  <si>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</si>
  <si>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</si>
  <si>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</si>
  <si>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</si>
  <si>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</si>
  <si>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</si>
  <si>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</si>
  <si>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</si>
  <si>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</si>
  <si>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</si>
  <si>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</si>
  <si>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</si>
  <si>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</si>
  <si>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</si>
  <si>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</si>
  <si>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</si>
  <si>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</si>
  <si>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</si>
  <si>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</si>
  <si>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</si>
  <si>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</si>
  <si>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</si>
  <si>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</si>
  <si>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</si>
  <si>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</si>
  <si>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</si>
  <si>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</si>
  <si>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</si>
  <si>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</si>
  <si>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</si>
  <si>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</si>
  <si>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</si>
  <si>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</si>
  <si>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</si>
  <si>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</si>
  <si>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</si>
  <si>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</si>
  <si>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</si>
  <si>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</si>
  <si>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</si>
  <si>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</si>
  <si>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</si>
  <si>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</si>
  <si>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</si>
  <si>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</si>
  <si>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</si>
  <si>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</si>
  <si>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</si>
  <si>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</si>
  <si>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</si>
  <si>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</si>
  <si>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</si>
  <si>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</si>
  <si>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</si>
  <si>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</si>
  <si>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</si>
  <si>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</si>
  <si>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</si>
  <si>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</si>
  <si>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</si>
  <si>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</si>
  <si>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</si>
  <si>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</si>
  <si>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</si>
  <si>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</si>
  <si>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</si>
  <si>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</si>
  <si>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</si>
  <si>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</si>
  <si>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</si>
  <si>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</si>
  <si>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</si>
  <si>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</si>
  <si>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</si>
  <si>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</si>
  <si>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</si>
  <si>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</si>
  <si>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</si>
  <si>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</si>
  <si>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</si>
  <si>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</si>
  <si>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</si>
  <si>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</si>
  <si>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</si>
  <si>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</si>
  <si>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</si>
  <si>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</si>
  <si>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</si>
  <si>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</si>
  <si>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</si>
  <si>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</si>
  <si>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</si>
  <si>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</si>
  <si>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</si>
  <si>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</si>
  <si>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</si>
  <si>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</si>
  <si>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</si>
  <si>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</si>
  <si>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</si>
  <si>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</si>
  <si>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</si>
  <si>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</si>
  <si>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</si>
  <si>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</si>
  <si>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</si>
  <si>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</si>
  <si>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</si>
  <si>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</si>
  <si>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</si>
  <si>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</si>
  <si>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</si>
  <si>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</si>
  <si>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</si>
  <si>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</si>
  <si>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</si>
  <si>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</si>
  <si>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</si>
  <si>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</si>
  <si>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</si>
  <si>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</si>
  <si>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</si>
  <si>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</si>
  <si>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</si>
  <si>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</si>
  <si>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</si>
  <si>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</si>
  <si>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</si>
  <si>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</si>
  <si>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</si>
  <si>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</si>
  <si>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</si>
  <si>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</si>
  <si>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</si>
  <si>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</si>
  <si>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</si>
  <si>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</si>
  <si>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</si>
  <si>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</si>
  <si>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</si>
  <si>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</si>
  <si>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</si>
  <si>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</si>
  <si>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</si>
  <si>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</si>
  <si>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</si>
  <si>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</si>
  <si>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</si>
  <si>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</si>
  <si>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</si>
  <si>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</si>
  <si>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</si>
  <si>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</si>
  <si>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</si>
  <si>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</si>
  <si>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</si>
  <si>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</si>
  <si>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</si>
  <si>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</si>
  <si>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</si>
  <si>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</si>
  <si>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</si>
  <si>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</si>
  <si>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</si>
  <si>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</si>
  <si>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</si>
  <si>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</si>
  <si>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</si>
  <si>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</si>
  <si>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</si>
  <si>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</si>
  <si>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</si>
  <si>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</si>
  <si>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</si>
  <si>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</si>
  <si>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</si>
  <si>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</si>
  <si>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</si>
  <si>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</si>
  <si>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</si>
  <si>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</si>
  <si>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</si>
  <si>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</si>
  <si>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</si>
  <si>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</si>
  <si>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</si>
  <si>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</si>
  <si>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</si>
  <si>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</si>
  <si>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</si>
  <si>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</si>
  <si>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</si>
  <si>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</si>
  <si>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</si>
  <si>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</si>
  <si>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</si>
  <si>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</si>
  <si>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</si>
  <si>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</si>
  <si>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</si>
  <si>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</si>
  <si>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</si>
  <si>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</si>
  <si>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</si>
  <si>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</si>
  <si>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</si>
  <si>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</si>
  <si>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</si>
  <si>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</si>
  <si>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</si>
  <si>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</si>
  <si>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</si>
  <si>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</si>
  <si>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</si>
  <si>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</si>
  <si>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</si>
  <si>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</si>
  <si>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</si>
  <si>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</si>
  <si>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</si>
  <si>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</si>
  <si>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</si>
  <si>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</si>
  <si>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</si>
  <si>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</si>
  <si>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</si>
  <si>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</si>
  <si>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</si>
  <si>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</si>
  <si>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</si>
  <si>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</si>
  <si>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</si>
  <si>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</si>
  <si>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</si>
  <si>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</si>
  <si>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</si>
  <si>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</si>
  <si>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</si>
  <si>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</si>
  <si>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</si>
  <si>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</si>
  <si>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</si>
  <si>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</si>
  <si>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</si>
  <si>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</si>
  <si>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</si>
  <si>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</si>
  <si>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</si>
  <si>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</si>
  <si>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</si>
  <si>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</si>
  <si>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</si>
  <si>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</si>
  <si>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</si>
  <si>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</si>
  <si>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</si>
  <si>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</si>
  <si>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</si>
  <si>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</si>
  <si>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</si>
  <si>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</si>
  <si>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</si>
  <si>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</si>
  <si>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</si>
  <si>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</si>
  <si>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</si>
  <si>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</si>
  <si>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</si>
  <si>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</si>
  <si>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</si>
  <si>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</si>
  <si>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</si>
  <si>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</si>
  <si>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</si>
  <si>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</si>
  <si>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</si>
  <si>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</si>
  <si>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</si>
  <si>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</si>
  <si>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</si>
  <si>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</si>
  <si>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</si>
  <si>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</si>
  <si>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</si>
  <si>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</si>
  <si>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</si>
  <si>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</si>
  <si>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</si>
  <si>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</si>
  <si>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</si>
  <si>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</si>
  <si>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</si>
  <si>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</si>
  <si>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</si>
  <si>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</si>
  <si>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</si>
  <si>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</si>
  <si>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</si>
  <si>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</si>
  <si>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</si>
  <si>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</si>
  <si>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</si>
  <si>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</si>
  <si>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</si>
  <si>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</si>
  <si>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</si>
  <si>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</si>
  <si>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</si>
  <si>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</si>
  <si>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</si>
  <si>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</si>
  <si>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</si>
  <si>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</si>
  <si>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</si>
  <si>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</si>
  <si>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</si>
  <si>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</si>
  <si>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</si>
  <si>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</si>
  <si>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</si>
  <si>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</si>
  <si>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</si>
  <si>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</si>
  <si>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</si>
  <si>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</si>
  <si>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</si>
  <si>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</si>
  <si>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</si>
  <si>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</si>
  <si>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</si>
  <si>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</si>
  <si>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</si>
  <si>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</si>
  <si>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</si>
  <si>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</si>
  <si>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</si>
  <si>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</si>
  <si>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</si>
  <si>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</si>
  <si>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</si>
  <si>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</si>
  <si>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</si>
  <si>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</si>
  <si>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</si>
  <si>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</si>
  <si>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</si>
  <si>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</si>
  <si>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</si>
  <si>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</si>
  <si>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</si>
  <si>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</si>
  <si>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</si>
  <si>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</si>
  <si>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</si>
  <si>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</si>
  <si>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</si>
  <si>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</si>
  <si>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</si>
  <si>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</si>
  <si>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</si>
  <si>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</si>
  <si>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</si>
  <si>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</si>
  <si>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</si>
  <si>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</si>
  <si>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</si>
  <si>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</si>
  <si>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</si>
  <si>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</si>
  <si>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</si>
  <si>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</si>
  <si>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</si>
  <si>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</si>
  <si>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</si>
  <si>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</si>
  <si>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</si>
  <si>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</si>
  <si>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</si>
  <si>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</si>
  <si>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</si>
  <si>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</si>
  <si>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</si>
  <si>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</si>
  <si>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</si>
  <si>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</si>
  <si>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</si>
  <si>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</si>
  <si>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</si>
  <si>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</si>
  <si>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</si>
  <si>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</si>
  <si>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</si>
  <si>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</si>
  <si>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</si>
  <si>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</si>
  <si>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</si>
  <si>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</si>
  <si>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</si>
  <si>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</si>
  <si>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</si>
  <si>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</si>
  <si>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</si>
  <si>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</si>
  <si>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</si>
  <si>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</si>
  <si>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</si>
  <si>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</si>
  <si>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</si>
  <si>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</si>
  <si>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</si>
  <si>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</si>
  <si>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</si>
  <si>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</si>
  <si>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</si>
  <si>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</si>
  <si>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</si>
  <si>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</si>
  <si>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</si>
  <si>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</si>
  <si>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</si>
  <si>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</si>
  <si>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</si>
  <si>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</si>
  <si>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</si>
  <si>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</si>
  <si>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</si>
  <si>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</si>
  <si>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</si>
  <si>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</si>
  <si>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</si>
  <si>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</si>
  <si>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</si>
  <si>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</si>
  <si>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</si>
  <si>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</si>
  <si>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</si>
  <si>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</si>
  <si>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</si>
  <si>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</si>
  <si>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</si>
  <si>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</si>
  <si>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</si>
  <si>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</si>
  <si>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</si>
  <si>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</si>
  <si>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</si>
  <si>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</si>
  <si>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</si>
  <si>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</si>
  <si>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</si>
  <si>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</si>
  <si>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</si>
  <si>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</si>
  <si>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</si>
  <si>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</si>
  <si>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</si>
  <si>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</si>
  <si>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</si>
  <si>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</si>
  <si>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</si>
  <si>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</si>
  <si>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</si>
  <si>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</si>
  <si>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</si>
  <si>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</si>
  <si>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</si>
  <si>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</si>
  <si>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</si>
  <si>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</si>
  <si>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</si>
  <si>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</si>
  <si>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</si>
  <si>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</si>
  <si>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</si>
  <si>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</si>
  <si>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</si>
  <si>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</si>
  <si>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</si>
  <si>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</si>
  <si>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</si>
  <si>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</si>
  <si>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</si>
  <si>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</si>
  <si>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</si>
  <si>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</si>
  <si>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</si>
  <si>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</si>
  <si>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</si>
  <si>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</si>
  <si>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</si>
  <si>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</si>
  <si>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</si>
  <si>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</si>
  <si>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</si>
  <si>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</si>
  <si>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</si>
  <si>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</si>
  <si>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</si>
  <si>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</si>
  <si>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</si>
  <si>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</si>
  <si>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</si>
  <si>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</si>
  <si>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</si>
  <si>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</si>
  <si>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</si>
  <si>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</si>
  <si>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</si>
  <si>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</si>
  <si>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</si>
  <si>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</si>
  <si>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</si>
  <si>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</si>
  <si>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</si>
  <si>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</si>
  <si>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</si>
  <si>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</si>
  <si>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</si>
  <si>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</si>
  <si>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</si>
  <si>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</si>
  <si>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</si>
  <si>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</si>
  <si>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</si>
  <si>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</si>
  <si>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</si>
  <si>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</si>
  <si>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</si>
  <si>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</si>
  <si>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</si>
  <si>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</si>
  <si>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</si>
  <si>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</si>
  <si>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</si>
  <si>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</si>
  <si>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</si>
  <si>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</si>
  <si>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</si>
  <si>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</si>
  <si>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</si>
  <si>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</si>
  <si>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</si>
  <si>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</si>
  <si>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</si>
  <si>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</si>
  <si>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</si>
  <si>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</si>
  <si>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</si>
  <si>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</si>
  <si>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</si>
  <si>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</si>
  <si>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</si>
  <si>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</si>
  <si>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</si>
  <si>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</si>
  <si>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</si>
  <si>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</si>
  <si>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</si>
  <si>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</si>
  <si>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</si>
  <si>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</si>
  <si>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</si>
  <si>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</si>
  <si>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</si>
  <si>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</si>
  <si>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</si>
  <si>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</si>
  <si>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</si>
  <si>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</si>
  <si>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</si>
  <si>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</si>
  <si>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</si>
  <si>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</si>
  <si>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</si>
  <si>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</si>
  <si>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</si>
  <si>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</si>
  <si>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</si>
  <si>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</si>
  <si>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</si>
  <si>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</si>
  <si>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</si>
  <si>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</si>
  <si>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</si>
  <si>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</si>
  <si>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</si>
  <si>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</si>
  <si>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</si>
  <si>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</si>
  <si>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</si>
  <si>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</si>
  <si>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</si>
  <si>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</si>
  <si>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</si>
  <si>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</si>
  <si>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</si>
  <si>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</si>
  <si>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</si>
  <si>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</si>
  <si>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</si>
  <si>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</si>
  <si>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</si>
  <si>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</si>
  <si>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</si>
  <si>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</si>
  <si>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</si>
  <si>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</si>
  <si>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</si>
  <si>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</si>
  <si>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</si>
  <si>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</si>
  <si>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</si>
  <si>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</si>
  <si>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</si>
  <si>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</si>
  <si>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</si>
  <si>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</si>
  <si>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</si>
  <si>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</si>
  <si>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</si>
  <si>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</si>
  <si>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</si>
  <si>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</si>
  <si>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</si>
  <si>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</si>
  <si>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</si>
  <si>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</si>
  <si>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</si>
  <si>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</si>
  <si>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</si>
  <si>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</si>
  <si>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</si>
  <si>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</si>
  <si>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</si>
  <si>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</si>
  <si>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</si>
  <si>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</si>
  <si>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</si>
  <si>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</si>
  <si>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</si>
  <si>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</si>
  <si>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</si>
  <si>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</si>
  <si>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</si>
  <si>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</si>
  <si>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</si>
  <si>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</si>
  <si>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</si>
  <si>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</si>
  <si>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</si>
  <si>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</si>
  <si>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</si>
  <si>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</si>
  <si>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</si>
  <si>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</si>
  <si>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</si>
  <si>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</si>
  <si>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</si>
  <si>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</si>
  <si>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</si>
  <si>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</si>
  <si>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</si>
  <si>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</si>
  <si>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</si>
  <si>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</si>
  <si>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</si>
  <si>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</si>
  <si>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</si>
  <si>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</si>
  <si>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</si>
  <si>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</si>
  <si>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</si>
  <si>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</si>
  <si>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</si>
  <si>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</si>
  <si>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</si>
  <si>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</si>
  <si>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</si>
  <si>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</si>
  <si>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</si>
  <si>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</si>
  <si>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</si>
  <si>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</si>
  <si>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</si>
  <si>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</si>
  <si>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</si>
  <si>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</si>
  <si>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</si>
  <si>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</si>
  <si>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</si>
  <si>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</si>
  <si>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</si>
  <si>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</si>
  <si>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</si>
  <si>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</si>
  <si>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</si>
  <si>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</si>
  <si>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</si>
  <si>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</si>
  <si>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</si>
  <si>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</si>
  <si>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</si>
  <si>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</si>
  <si>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</si>
  <si>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</si>
  <si>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</si>
  <si>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</si>
  <si>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</si>
  <si>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</si>
  <si>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</si>
  <si>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</si>
  <si>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</si>
  <si>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</si>
  <si>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</si>
  <si>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</si>
  <si>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</si>
  <si>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</si>
  <si>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</si>
  <si>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</si>
  <si>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</si>
  <si>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</si>
  <si>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</si>
  <si>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</si>
  <si>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</si>
  <si>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</si>
  <si>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</si>
  <si>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</si>
  <si>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</si>
  <si>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</si>
  <si>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</si>
  <si>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</si>
  <si>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</si>
  <si>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</si>
  <si>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</si>
  <si>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</si>
  <si>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</si>
  <si>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</si>
  <si>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</si>
  <si>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</si>
  <si>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</si>
  <si>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</si>
  <si>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</si>
  <si>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</si>
  <si>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</si>
  <si>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</si>
  <si>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</si>
  <si>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</si>
  <si>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</si>
  <si>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</si>
  <si>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</si>
  <si>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</si>
  <si>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</si>
  <si>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</si>
  <si>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</si>
  <si>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</si>
  <si>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</si>
  <si>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</si>
  <si>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</si>
  <si>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</si>
  <si>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</si>
  <si>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</si>
  <si>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</si>
  <si>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</si>
  <si>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</si>
  <si>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</si>
  <si>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</si>
  <si>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</si>
  <si>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</si>
  <si>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</si>
  <si>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</si>
  <si>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</si>
  <si>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</si>
  <si>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</si>
  <si>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</si>
  <si>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</si>
  <si>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</si>
  <si>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</si>
  <si>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</si>
  <si>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</si>
  <si>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</si>
  <si>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</si>
  <si>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</si>
  <si>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</si>
  <si>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</si>
  <si>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</si>
  <si>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</si>
  <si>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</si>
  <si>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</si>
  <si>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</si>
  <si>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</si>
  <si>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</si>
  <si>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</si>
  <si>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</si>
  <si>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</si>
  <si>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</si>
  <si>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</si>
  <si>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</si>
  <si>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</si>
  <si>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</si>
  <si>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</si>
  <si>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</si>
  <si>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</si>
  <si>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</si>
  <si>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</si>
  <si>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</si>
  <si>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</si>
  <si>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</si>
  <si>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</si>
  <si>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</si>
  <si>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</si>
  <si>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</si>
  <si>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</si>
  <si>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</si>
  <si>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</si>
  <si>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</si>
  <si>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</si>
  <si>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</si>
  <si>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</si>
  <si>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</si>
  <si>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</si>
  <si>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</si>
  <si>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</si>
  <si>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</si>
  <si>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</si>
  <si>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</si>
  <si>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</si>
  <si>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</si>
  <si>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</si>
  <si>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</si>
  <si>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</si>
  <si>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</si>
  <si>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</si>
  <si>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</si>
  <si>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</si>
  <si>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</si>
  <si>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</si>
  <si>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</si>
  <si>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</si>
  <si>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</si>
  <si>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</si>
  <si>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</si>
  <si>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</si>
  <si>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</si>
  <si>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</si>
  <si>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</si>
  <si>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</si>
  <si>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</si>
  <si>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</si>
  <si>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</si>
  <si>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</si>
  <si>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</si>
  <si>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</si>
  <si>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</si>
  <si>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</si>
  <si>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</si>
  <si>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</si>
  <si>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</si>
  <si>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</si>
  <si>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</si>
  <si>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</si>
  <si>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</si>
  <si>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</si>
  <si>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</si>
  <si>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</si>
  <si>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</si>
  <si>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</si>
  <si>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</si>
  <si>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</si>
  <si>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</si>
  <si>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</si>
  <si>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</si>
  <si>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</si>
  <si>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</si>
  <si>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</si>
  <si>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</si>
  <si>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</si>
  <si>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</si>
  <si>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</si>
  <si>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</si>
  <si>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</si>
  <si>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</si>
  <si>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</si>
  <si>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</si>
  <si>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</si>
  <si>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</si>
  <si>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</si>
  <si>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</si>
  <si>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</si>
  <si>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</si>
  <si>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</si>
  <si>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</si>
  <si>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</si>
  <si>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</si>
  <si>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</si>
  <si>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</si>
  <si>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</si>
  <si>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</si>
  <si>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</si>
  <si>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</si>
  <si>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</si>
  <si>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</si>
  <si>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</si>
  <si>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</si>
  <si>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</si>
  <si>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</si>
  <si>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</si>
  <si>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</si>
  <si>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</si>
  <si>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</si>
  <si>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</si>
  <si>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</si>
  <si>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</si>
  <si>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</si>
  <si>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</si>
  <si>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</si>
  <si>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</si>
  <si>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</si>
  <si>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</si>
  <si>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</si>
  <si>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</si>
  <si>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</si>
  <si>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</si>
  <si>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</si>
  <si>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</si>
  <si>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</si>
  <si>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</si>
  <si>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</si>
  <si>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</si>
  <si>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</si>
  <si>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</si>
  <si>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</si>
  <si>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</si>
  <si>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</si>
  <si>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</si>
  <si>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</si>
  <si>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</si>
  <si>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</si>
  <si>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</si>
  <si>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</si>
  <si>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</si>
  <si>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</si>
  <si>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</si>
  <si>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</si>
  <si>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</si>
  <si>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</si>
  <si>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</si>
  <si>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</si>
  <si>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</si>
  <si>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</si>
  <si>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</si>
  <si>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</si>
  <si>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</si>
  <si>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</si>
  <si>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</si>
  <si>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</si>
  <si>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</si>
  <si>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</si>
  <si>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</si>
  <si>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</si>
  <si>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</si>
  <si>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</si>
  <si>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</si>
  <si>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</si>
  <si>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</si>
  <si>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</si>
  <si>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</si>
  <si>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</si>
  <si>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</si>
  <si>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</si>
  <si>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</si>
  <si>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</si>
  <si>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</si>
  <si>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</si>
  <si>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</si>
  <si>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</si>
  <si>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</si>
  <si>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</si>
  <si>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</si>
  <si>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</si>
  <si>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</si>
  <si>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</si>
  <si>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</si>
  <si>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</si>
  <si>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</si>
  <si>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</si>
  <si>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</si>
  <si>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</si>
  <si>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</si>
  <si>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</si>
  <si>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</si>
  <si>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</si>
  <si>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</si>
  <si>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</si>
  <si>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</si>
  <si>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</si>
  <si>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</si>
  <si>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</si>
  <si>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</si>
  <si>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</si>
  <si>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</si>
  <si>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</si>
  <si>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</si>
  <si>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</si>
  <si>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</si>
  <si>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</si>
  <si>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</si>
  <si>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</si>
  <si>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</si>
  <si>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</si>
  <si>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</si>
  <si>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</si>
  <si>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</si>
  <si>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</si>
  <si>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</si>
  <si>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</si>
  <si>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</si>
  <si>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</si>
  <si>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</si>
  <si>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</si>
  <si>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</si>
  <si>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</si>
  <si>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</si>
  <si>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</si>
  <si>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</si>
  <si>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</si>
  <si>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</si>
  <si>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</si>
  <si>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</si>
  <si>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</si>
  <si>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</si>
  <si>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</si>
  <si>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</si>
  <si>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</si>
  <si>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</si>
  <si>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</si>
  <si>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</si>
  <si>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</si>
  <si>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</si>
  <si>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</si>
  <si>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</si>
  <si>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</si>
  <si>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</si>
  <si>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</si>
  <si>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</si>
  <si>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</si>
  <si>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</si>
  <si>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</si>
  <si>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</si>
  <si>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</si>
  <si>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</si>
  <si>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</si>
  <si>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</si>
  <si>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</si>
  <si>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</si>
  <si>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</si>
  <si>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</si>
  <si>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</si>
  <si>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</si>
  <si>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</si>
  <si>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</si>
  <si>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</si>
  <si>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</si>
  <si>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</si>
  <si>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</si>
  <si>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</si>
  <si>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</si>
  <si>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</si>
  <si>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</si>
  <si>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</si>
  <si>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</si>
  <si>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</si>
  <si>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</si>
  <si>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</si>
  <si>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</si>
  <si>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</si>
  <si>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</si>
  <si>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</si>
  <si>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</si>
  <si>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</si>
  <si>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</si>
  <si>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</si>
  <si>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</si>
  <si>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</si>
  <si>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</si>
  <si>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</si>
  <si>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</si>
  <si>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</si>
  <si>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</si>
  <si>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</si>
  <si>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</si>
  <si>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</si>
  <si>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</si>
  <si>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</si>
  <si>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</si>
  <si>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</si>
  <si>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</si>
  <si>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</si>
  <si>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</si>
  <si>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</si>
  <si>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</si>
  <si>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</si>
  <si>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</si>
  <si>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</si>
  <si>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</si>
  <si>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</si>
  <si>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</si>
  <si>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</si>
  <si>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</si>
  <si>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</si>
  <si>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</si>
  <si>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</si>
  <si>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</si>
  <si>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</si>
  <si>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</si>
  <si>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</si>
  <si>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</si>
  <si>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</si>
  <si>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</si>
  <si>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</si>
  <si>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</si>
  <si>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</si>
  <si>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</si>
  <si>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</si>
  <si>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</si>
  <si>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</si>
  <si>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</si>
  <si>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</si>
  <si>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</si>
  <si>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</si>
  <si>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</si>
  <si>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</si>
  <si>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</si>
  <si>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</si>
  <si>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</si>
  <si>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</si>
  <si>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</si>
  <si>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</si>
  <si>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</si>
  <si>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</si>
  <si>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</si>
  <si>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</si>
  <si>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</si>
  <si>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</si>
  <si>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</si>
  <si>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</si>
  <si>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</si>
  <si>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</si>
  <si>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</si>
  <si>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</si>
  <si>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</si>
  <si>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</si>
  <si>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</si>
  <si>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</si>
  <si>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</si>
  <si>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</si>
  <si>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</si>
  <si>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</si>
  <si>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</si>
  <si>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</si>
  <si>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</si>
  <si>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</si>
  <si>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</si>
  <si>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</si>
  <si>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</si>
  <si>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</si>
  <si>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</si>
  <si>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</si>
  <si>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</si>
  <si>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</si>
  <si>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</si>
  <si>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</si>
  <si>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</si>
  <si>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</si>
  <si>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</si>
  <si>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</si>
  <si>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</si>
  <si>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</si>
  <si>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</si>
  <si>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</si>
  <si>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</si>
  <si>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</si>
  <si>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</si>
  <si>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</si>
  <si>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</si>
  <si>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</si>
  <si>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</si>
  <si>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</si>
  <si>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</si>
  <si>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</si>
  <si>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</si>
  <si>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</si>
  <si>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</si>
  <si>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</si>
  <si>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</si>
  <si>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</si>
  <si>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</si>
  <si>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</si>
  <si>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</si>
  <si>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</si>
  <si>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</si>
  <si>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</si>
  <si>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</si>
  <si>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</si>
  <si>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</si>
  <si>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</si>
  <si>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</si>
  <si>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</si>
  <si>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</si>
  <si>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</si>
  <si>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</si>
  <si>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</si>
  <si>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</si>
  <si>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</si>
  <si>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</si>
  <si>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</si>
  <si>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</si>
  <si>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</si>
  <si>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</si>
  <si>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</si>
  <si>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</si>
  <si>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</si>
  <si>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</si>
  <si>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</si>
  <si>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</si>
  <si>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</si>
  <si>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</si>
  <si>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</si>
  <si>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</si>
  <si>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</si>
  <si>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</si>
  <si>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</si>
  <si>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</si>
  <si>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</si>
  <si>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</si>
  <si>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</si>
  <si>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</si>
  <si>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</si>
  <si>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</si>
  <si>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</si>
  <si>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</si>
  <si>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</si>
  <si>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</si>
  <si>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</si>
  <si>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</si>
  <si>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</si>
  <si>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</si>
  <si>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</si>
  <si>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</si>
  <si>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</si>
  <si>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</si>
  <si>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</si>
  <si>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</si>
  <si>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</si>
  <si>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</si>
  <si>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</si>
  <si>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</si>
  <si>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</si>
  <si>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</si>
  <si>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</si>
  <si>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</si>
  <si>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</si>
  <si>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</si>
  <si>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</si>
  <si>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</si>
  <si>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</si>
  <si>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</si>
  <si>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</si>
  <si>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</si>
  <si>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</si>
  <si>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</si>
  <si>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</si>
  <si>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</si>
  <si>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</si>
  <si>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</si>
  <si>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</si>
  <si>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</si>
  <si>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</si>
  <si>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</si>
  <si>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</si>
  <si>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</si>
  <si>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</si>
  <si>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</si>
  <si>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</si>
  <si>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</si>
  <si>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</si>
  <si>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</si>
  <si>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</si>
  <si>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</si>
  <si>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</si>
  <si>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</si>
  <si>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</si>
  <si>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</si>
  <si>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</si>
  <si>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</si>
  <si>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</si>
  <si>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</si>
  <si>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</si>
  <si>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</si>
  <si>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</si>
  <si>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</si>
  <si>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</si>
  <si>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</si>
  <si>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</si>
  <si>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</si>
  <si>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</si>
  <si>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</si>
  <si>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</si>
  <si>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</si>
  <si>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</si>
  <si>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</si>
  <si>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</si>
  <si>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</si>
  <si>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</si>
  <si>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</si>
  <si>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</si>
  <si>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</si>
  <si>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</si>
  <si>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</si>
  <si>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</si>
  <si>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</si>
  <si>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</si>
  <si>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</si>
  <si>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</si>
  <si>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</si>
  <si>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</si>
  <si>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</si>
  <si>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</si>
  <si>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</si>
  <si>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</si>
  <si>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</si>
  <si>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</si>
  <si>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</si>
  <si>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</si>
  <si>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</si>
  <si>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</si>
  <si>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</si>
  <si>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</si>
  <si>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</si>
  <si>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</si>
  <si>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</si>
  <si>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</si>
  <si>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</si>
  <si>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</si>
  <si>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</si>
  <si>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</si>
  <si>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</si>
  <si>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</si>
  <si>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</si>
  <si>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</si>
  <si>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</si>
  <si>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</si>
  <si>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</si>
  <si>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</si>
  <si>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</si>
  <si>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</si>
  <si>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</si>
  <si>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</si>
  <si>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</si>
  <si>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</si>
  <si>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</si>
  <si>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</si>
  <si>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</si>
  <si>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</si>
  <si>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</si>
  <si>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</si>
  <si>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</si>
  <si>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</si>
  <si>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</si>
  <si>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</si>
  <si>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</si>
  <si>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</si>
  <si>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</si>
  <si>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</si>
  <si>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</si>
  <si>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</si>
  <si>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</si>
  <si>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</si>
  <si>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</si>
  <si>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</si>
  <si>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</si>
  <si>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</si>
  <si>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</si>
  <si>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</si>
  <si>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</si>
  <si>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</si>
  <si>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</si>
  <si>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</si>
  <si>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</si>
  <si>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</si>
  <si>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</si>
  <si>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</si>
  <si>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</si>
  <si>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</si>
  <si>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</si>
  <si>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</si>
  <si>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</si>
  <si>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</si>
  <si>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</si>
  <si>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</si>
  <si>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</si>
  <si>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</si>
  <si>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</si>
  <si>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</si>
  <si>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</si>
  <si>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</si>
  <si>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</si>
  <si>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</si>
  <si>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</si>
  <si>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</si>
  <si>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</si>
  <si>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</si>
  <si>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</si>
  <si>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</si>
  <si>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</si>
  <si>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</si>
  <si>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</si>
  <si>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</si>
  <si>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</si>
  <si>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</si>
  <si>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</si>
  <si>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</si>
  <si>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</si>
  <si>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</si>
  <si>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</si>
  <si>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</si>
  <si>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</si>
  <si>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</si>
  <si>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</si>
  <si>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</si>
  <si>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</si>
  <si>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</si>
  <si>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</si>
  <si>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</si>
  <si>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</si>
  <si>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</si>
  <si>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</si>
  <si>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</si>
  <si>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</si>
  <si>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</si>
  <si>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</si>
  <si>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</si>
  <si>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</si>
  <si>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</si>
  <si>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</si>
  <si>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</si>
  <si>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</si>
  <si>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</si>
  <si>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</si>
  <si>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</si>
  <si>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</si>
  <si>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</si>
  <si>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</si>
  <si>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</si>
  <si>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</si>
  <si>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</si>
  <si>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</si>
  <si>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</si>
  <si>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</si>
  <si>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</si>
  <si>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</si>
  <si>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</si>
  <si>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</si>
  <si>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</si>
  <si>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</si>
  <si>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</si>
  <si>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</si>
  <si>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</si>
  <si>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</si>
  <si>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</si>
  <si>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</si>
  <si>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</si>
  <si>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</si>
  <si>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</si>
  <si>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</si>
  <si>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</si>
  <si>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</si>
  <si>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</si>
  <si>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</si>
  <si>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</si>
  <si>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</si>
  <si>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</si>
  <si>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</si>
  <si>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</si>
  <si>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</si>
  <si>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</si>
  <si>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</si>
  <si>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</si>
  <si>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</si>
  <si>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</si>
  <si>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</si>
  <si>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</si>
  <si>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</si>
  <si>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</si>
  <si>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</si>
  <si>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</si>
  <si>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</si>
  <si>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</si>
  <si>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</si>
  <si>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</si>
  <si>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</si>
  <si>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</si>
  <si>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</si>
  <si>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</si>
  <si>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</si>
  <si>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</si>
  <si>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</si>
  <si>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</si>
  <si>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</si>
  <si>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</si>
  <si>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</si>
  <si>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</si>
  <si>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</si>
  <si>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</si>
  <si>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</si>
  <si>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</si>
  <si>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</si>
  <si>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</si>
  <si>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</si>
  <si>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</si>
  <si>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</si>
  <si>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</si>
  <si>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</si>
  <si>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</si>
  <si>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</si>
  <si>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</si>
  <si>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</si>
  <si>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</si>
  <si>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</si>
  <si>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</si>
  <si>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</si>
  <si>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</si>
  <si>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</si>
  <si>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</si>
  <si>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</si>
  <si>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</si>
  <si>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</si>
  <si>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</si>
  <si>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</si>
  <si>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</si>
  <si>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</si>
  <si>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</si>
  <si>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</si>
  <si>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</si>
  <si>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</si>
  <si>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</si>
  <si>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</si>
  <si>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</si>
  <si>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</si>
  <si>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</si>
  <si>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</si>
  <si>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</si>
  <si>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</si>
  <si>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</si>
  <si>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</si>
  <si>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</si>
  <si>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</si>
  <si>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</si>
  <si>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</si>
  <si>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</si>
  <si>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</si>
  <si>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</si>
  <si>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</si>
  <si>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</si>
  <si>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</si>
  <si>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</si>
  <si>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</si>
  <si>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</si>
  <si>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</si>
  <si>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</si>
  <si>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</si>
  <si>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</si>
  <si>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</si>
  <si>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</si>
  <si>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</si>
  <si>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</si>
  <si>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</si>
  <si>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</si>
  <si>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</si>
  <si>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</si>
  <si>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</si>
  <si>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</si>
  <si>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</si>
  <si>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</si>
  <si>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</si>
  <si>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</si>
  <si>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</si>
  <si>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</si>
  <si>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</si>
  <si>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</si>
  <si>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</si>
  <si>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</si>
  <si>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</si>
  <si>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</si>
  <si>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</si>
  <si>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</si>
  <si>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</si>
  <si>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</si>
  <si>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</si>
  <si>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</si>
  <si>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</si>
  <si>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</si>
  <si>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</si>
  <si>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</si>
  <si>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</si>
  <si>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</si>
  <si>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</si>
  <si>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</si>
  <si>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</si>
  <si>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</si>
  <si>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</si>
  <si>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</si>
  <si>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</si>
  <si>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</si>
  <si>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</si>
  <si>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</si>
  <si>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</si>
  <si>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</si>
  <si>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</si>
  <si>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</si>
  <si>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</si>
  <si>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</si>
  <si>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</si>
  <si>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</si>
  <si>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</si>
  <si>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</si>
  <si>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</si>
  <si>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</si>
  <si>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</si>
  <si>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</si>
  <si>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</si>
  <si>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</si>
  <si>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</si>
  <si>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</si>
  <si>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</si>
  <si>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</si>
  <si>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</si>
  <si>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</si>
  <si>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</si>
  <si>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</si>
  <si>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</si>
  <si>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</si>
  <si>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</si>
  <si>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</si>
  <si>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</si>
  <si>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</si>
  <si>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</si>
  <si>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</si>
  <si>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</si>
  <si>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</si>
  <si>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</si>
  <si>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</si>
  <si>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</si>
  <si>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</si>
  <si>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</si>
  <si>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</si>
  <si>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</si>
  <si>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</si>
  <si>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</si>
  <si>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</si>
  <si>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</si>
  <si>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</si>
  <si>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</si>
  <si>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</si>
  <si>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</si>
  <si>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</si>
  <si>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</si>
  <si>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</si>
  <si>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</si>
  <si>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</si>
  <si>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</si>
  <si>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</si>
  <si>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</si>
  <si>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</si>
  <si>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</si>
  <si>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</si>
  <si>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</si>
  <si>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</si>
  <si>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</si>
  <si>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The part of Tin of 'Malaysia Smelting Corp' is supplied from Rwanda and DRC. The locations are not conflict areas in the countries and the smelter is CFS validated.</t>
    <phoneticPr fontId="6" type="noConversion"/>
  </si>
  <si>
    <t>http://www.bourns.com/docs/RoHS-Content/conflict_metals_statement.pdf</t>
    <phoneticPr fontId="6" type="noConversion"/>
  </si>
  <si>
    <t>agung@pttimah.co.id</t>
  </si>
  <si>
    <t>Indonesia</t>
  </si>
  <si>
    <t>RCOI confirmed as per RMI</t>
  </si>
  <si>
    <t>Ms.Luciana Miranda Pagnoncelli</t>
  </si>
  <si>
    <t>lpagnoncelli@mtaboca.com.br</t>
  </si>
  <si>
    <t>Datun Tin Mine, Malage Tin Mine,Songshujiao Tin Mine</t>
  </si>
  <si>
    <t>China</t>
  </si>
  <si>
    <t>Mr.Panya Torchareon</t>
  </si>
  <si>
    <t>Panyator@thaisarco.com</t>
  </si>
  <si>
    <t>Mr.Mark Van Loon</t>
  </si>
  <si>
    <t>mark.vanloon@metallo.com</t>
  </si>
  <si>
    <t>NR Series</t>
    <phoneticPr fontId="98"/>
  </si>
  <si>
    <t>NR Breaker</t>
    <phoneticPr fontId="98"/>
  </si>
  <si>
    <t>Mr. Agung Nugroho</t>
  </si>
  <si>
    <t>CFS validated</t>
  </si>
  <si>
    <t>Mr. Abdul Kamaroes</t>
  </si>
  <si>
    <t>akamaroes@pttimah.co.id</t>
  </si>
  <si>
    <t>Tin Mine in Indonesia(No Name of Tin Mine)</t>
  </si>
  <si>
    <t>Ms. Meily Tanoto</t>
  </si>
  <si>
    <t>meily.tanoto@gmail.com</t>
  </si>
  <si>
    <t>Evangeline Punongbayan</t>
  </si>
  <si>
    <t>eb.punongbayan@omp.com.ph</t>
  </si>
  <si>
    <t>Recycled</t>
  </si>
  <si>
    <t>Mr. Panya Torchareon</t>
  </si>
  <si>
    <t>panyator@thaisarco.com</t>
  </si>
  <si>
    <t>Tin Mine located at countries stated next cell (No Name of Tin Mine)</t>
  </si>
  <si>
    <t>Australia, Brazil, Bolivia, China, Laos, Myanmar, Morocco, Peru, Portugal, Vietnam, Rwanda and DRC</t>
  </si>
  <si>
    <t>Raveentiran a/l Krishnan</t>
  </si>
  <si>
    <t>raveentiran@msmelt.com</t>
  </si>
  <si>
    <t>Please refer to iTSCi for list of mines covering the Great Lakes region.</t>
  </si>
  <si>
    <t>DRC, Rwanda, Nigeria,Russia, Brazil,Australia, Malaysia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</si>
</sst>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89"/>
      <c r="B2" s="5" t="s">
        <v>847</v>
      </c>
      <c r="C2" s="3"/>
      <c r="D2" s="175"/>
      <c r="E2" s="3"/>
      <c r="F2" s="3"/>
      <c r="G2" s="25"/>
    </row>
    <row r="3" spans="1:7">
      <c r="A3" s="289"/>
      <c r="B3" s="3" t="s">
        <v>839</v>
      </c>
      <c r="C3" s="5"/>
      <c r="D3" s="176"/>
      <c r="E3" s="3"/>
      <c r="F3" s="5"/>
      <c r="G3" s="25"/>
    </row>
    <row r="4" spans="1:7" ht="15">
      <c r="A4" s="289"/>
      <c r="B4" s="30" t="s">
        <v>849</v>
      </c>
      <c r="C4" s="6"/>
      <c r="D4" s="177"/>
      <c r="E4" s="3"/>
      <c r="F4" s="6"/>
      <c r="G4" s="25"/>
    </row>
    <row r="5" spans="1:7">
      <c r="A5" s="289"/>
      <c r="B5" s="29" t="s">
        <v>1040</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850</v>
      </c>
      <c r="C9" s="292"/>
      <c r="D9" s="292"/>
      <c r="E9" s="292"/>
      <c r="F9" s="292"/>
      <c r="G9" s="25"/>
    </row>
    <row r="10" spans="1:7" ht="27" customHeight="1">
      <c r="A10" s="289"/>
      <c r="B10" s="293" t="s">
        <v>438</v>
      </c>
      <c r="C10" s="293"/>
      <c r="D10" s="293"/>
      <c r="E10" s="293"/>
      <c r="F10" s="293"/>
      <c r="G10" s="25"/>
    </row>
    <row r="11" spans="1:7" ht="27" customHeight="1">
      <c r="A11" s="289"/>
      <c r="B11" s="294"/>
      <c r="C11" s="294"/>
      <c r="D11" s="294"/>
      <c r="E11" s="294"/>
      <c r="F11" s="294"/>
      <c r="G11" s="25"/>
    </row>
    <row r="12" spans="1:7">
      <c r="A12" s="289"/>
      <c r="B12" s="31" t="s">
        <v>848</v>
      </c>
      <c r="C12" s="32" t="s">
        <v>851</v>
      </c>
      <c r="D12" s="179" t="s">
        <v>852</v>
      </c>
      <c r="E12" s="32" t="s">
        <v>612</v>
      </c>
      <c r="F12" s="32" t="s">
        <v>613</v>
      </c>
      <c r="G12" s="25"/>
    </row>
    <row r="13" spans="1:7" ht="20">
      <c r="A13" s="289"/>
      <c r="B13" s="2">
        <v>1</v>
      </c>
      <c r="C13" s="27" t="s">
        <v>1088</v>
      </c>
      <c r="D13" s="28" t="s">
        <v>876</v>
      </c>
      <c r="E13" s="163" t="s">
        <v>853</v>
      </c>
      <c r="F13" s="163"/>
      <c r="G13" s="25"/>
    </row>
    <row r="14" spans="1:7" ht="30">
      <c r="A14" s="289"/>
      <c r="B14" s="2">
        <v>2</v>
      </c>
      <c r="C14" s="27" t="s">
        <v>1088</v>
      </c>
      <c r="D14" s="28" t="s">
        <v>1025</v>
      </c>
      <c r="E14" s="163" t="s">
        <v>530</v>
      </c>
      <c r="F14" s="163" t="s">
        <v>531</v>
      </c>
      <c r="G14" s="25"/>
    </row>
    <row r="15" spans="1:7" ht="89.15" customHeight="1">
      <c r="A15" s="289"/>
      <c r="B15" s="295">
        <v>2.0099999999999998</v>
      </c>
      <c r="C15" s="286" t="s">
        <v>1088</v>
      </c>
      <c r="D15" s="298" t="s">
        <v>2263</v>
      </c>
      <c r="E15" s="164" t="s">
        <v>614</v>
      </c>
      <c r="F15" s="164" t="s">
        <v>617</v>
      </c>
      <c r="G15" s="25"/>
    </row>
    <row r="16" spans="1:7" ht="99" customHeight="1">
      <c r="A16" s="289"/>
      <c r="B16" s="296"/>
      <c r="C16" s="287"/>
      <c r="D16" s="299"/>
      <c r="E16" s="165"/>
      <c r="F16" s="165" t="s">
        <v>615</v>
      </c>
      <c r="G16" s="25"/>
    </row>
    <row r="17" spans="1:7" ht="63" customHeight="1">
      <c r="A17" s="289"/>
      <c r="B17" s="297"/>
      <c r="C17" s="288"/>
      <c r="D17" s="300"/>
      <c r="E17" s="27"/>
      <c r="F17" s="27" t="s">
        <v>616</v>
      </c>
      <c r="G17" s="25"/>
    </row>
    <row r="18" spans="1:7" ht="117" customHeight="1">
      <c r="A18" s="289"/>
      <c r="B18" s="295">
        <v>2.02</v>
      </c>
      <c r="C18" s="286" t="s">
        <v>1088</v>
      </c>
      <c r="D18" s="298" t="s">
        <v>2264</v>
      </c>
      <c r="E18" s="164" t="s">
        <v>439</v>
      </c>
      <c r="F18" s="164" t="s">
        <v>525</v>
      </c>
      <c r="G18" s="25"/>
    </row>
    <row r="19" spans="1:7" ht="71.150000000000006" customHeight="1">
      <c r="A19" s="289"/>
      <c r="B19" s="296"/>
      <c r="C19" s="287"/>
      <c r="D19" s="299"/>
      <c r="E19" s="165" t="s">
        <v>529</v>
      </c>
      <c r="F19" s="165" t="s">
        <v>440</v>
      </c>
      <c r="G19" s="25"/>
    </row>
    <row r="20" spans="1:7" ht="90.75" customHeight="1">
      <c r="A20" s="289"/>
      <c r="B20" s="296"/>
      <c r="C20" s="287"/>
      <c r="D20" s="299"/>
      <c r="E20" s="165"/>
      <c r="F20" s="165" t="s">
        <v>619</v>
      </c>
      <c r="G20" s="25"/>
    </row>
    <row r="21" spans="1:7" ht="74.25" customHeight="1">
      <c r="A21" s="289"/>
      <c r="B21" s="297"/>
      <c r="C21" s="288"/>
      <c r="D21" s="300"/>
      <c r="E21" s="27"/>
      <c r="F21" s="27" t="s">
        <v>618</v>
      </c>
      <c r="G21" s="25"/>
    </row>
    <row r="22" spans="1:7" ht="90" customHeight="1">
      <c r="A22" s="289"/>
      <c r="B22" s="304">
        <v>2.0299999999999998</v>
      </c>
      <c r="C22" s="304" t="s">
        <v>822</v>
      </c>
      <c r="D22" s="307" t="s">
        <v>2265</v>
      </c>
      <c r="E22" s="286" t="s">
        <v>437</v>
      </c>
      <c r="F22" s="164" t="s">
        <v>460</v>
      </c>
      <c r="G22" s="25"/>
    </row>
    <row r="23" spans="1:7" ht="109.5" customHeight="1">
      <c r="A23" s="289"/>
      <c r="B23" s="305"/>
      <c r="C23" s="305"/>
      <c r="D23" s="308"/>
      <c r="E23" s="287"/>
      <c r="F23" s="165" t="s">
        <v>823</v>
      </c>
      <c r="G23" s="25"/>
    </row>
    <row r="24" spans="1:7" ht="74.25" customHeight="1">
      <c r="A24" s="289"/>
      <c r="B24" s="306"/>
      <c r="C24" s="306"/>
      <c r="D24" s="309"/>
      <c r="E24" s="288"/>
      <c r="F24" s="27" t="s">
        <v>436</v>
      </c>
      <c r="G24" s="25"/>
    </row>
    <row r="25" spans="1:7" ht="72" customHeight="1">
      <c r="A25" s="289"/>
      <c r="B25" s="2" t="s">
        <v>458</v>
      </c>
      <c r="C25" s="27" t="s">
        <v>459</v>
      </c>
      <c r="D25" s="28" t="s">
        <v>2266</v>
      </c>
      <c r="E25" s="27" t="s">
        <v>2261</v>
      </c>
      <c r="F25" s="27" t="s">
        <v>461</v>
      </c>
      <c r="G25" s="25"/>
    </row>
    <row r="26" spans="1:7" ht="98.15" customHeight="1">
      <c r="A26" s="289"/>
      <c r="B26" s="301">
        <v>3</v>
      </c>
      <c r="C26" s="295" t="s">
        <v>70</v>
      </c>
      <c r="D26" s="298" t="s">
        <v>2267</v>
      </c>
      <c r="E26" s="286" t="s">
        <v>0</v>
      </c>
      <c r="F26" s="164" t="s">
        <v>64</v>
      </c>
      <c r="G26" s="25"/>
    </row>
    <row r="27" spans="1:7" ht="90" customHeight="1">
      <c r="A27" s="289"/>
      <c r="B27" s="302"/>
      <c r="C27" s="296"/>
      <c r="D27" s="299"/>
      <c r="E27" s="287"/>
      <c r="F27" s="165" t="s">
        <v>59</v>
      </c>
      <c r="G27" s="25"/>
    </row>
    <row r="28" spans="1:7" ht="19.399999999999999" customHeight="1">
      <c r="A28" s="289"/>
      <c r="B28" s="302"/>
      <c r="C28" s="296"/>
      <c r="D28" s="299"/>
      <c r="E28" s="287"/>
      <c r="F28" s="165" t="s">
        <v>60</v>
      </c>
      <c r="G28" s="25"/>
    </row>
    <row r="29" spans="1:7" ht="74.5" customHeight="1">
      <c r="A29" s="289"/>
      <c r="B29" s="302"/>
      <c r="C29" s="296"/>
      <c r="D29" s="299"/>
      <c r="E29" s="287"/>
      <c r="F29" s="165" t="s">
        <v>61</v>
      </c>
      <c r="G29" s="25"/>
    </row>
    <row r="30" spans="1:7" ht="62.5" customHeight="1">
      <c r="A30" s="289"/>
      <c r="B30" s="302"/>
      <c r="C30" s="296"/>
      <c r="D30" s="299"/>
      <c r="E30" s="287"/>
      <c r="F30" s="165" t="s">
        <v>62</v>
      </c>
      <c r="G30" s="25"/>
    </row>
    <row r="31" spans="1:7" ht="81" customHeight="1">
      <c r="A31" s="289"/>
      <c r="B31" s="302"/>
      <c r="C31" s="296"/>
      <c r="D31" s="299"/>
      <c r="E31" s="287"/>
      <c r="F31" s="165" t="s">
        <v>63</v>
      </c>
      <c r="G31" s="25"/>
    </row>
    <row r="32" spans="1:7" ht="48.75" customHeight="1">
      <c r="A32" s="289"/>
      <c r="B32" s="302"/>
      <c r="C32" s="296"/>
      <c r="D32" s="299"/>
      <c r="E32" s="287"/>
      <c r="F32" s="165" t="s">
        <v>66</v>
      </c>
      <c r="G32" s="25"/>
    </row>
    <row r="33" spans="1:7" ht="98.5" customHeight="1">
      <c r="A33" s="289"/>
      <c r="B33" s="302"/>
      <c r="C33" s="296"/>
      <c r="D33" s="299"/>
      <c r="E33" s="287"/>
      <c r="F33" s="165" t="s">
        <v>65</v>
      </c>
      <c r="G33" s="25"/>
    </row>
    <row r="34" spans="1:7" ht="89.15" customHeight="1">
      <c r="A34" s="289"/>
      <c r="B34" s="302"/>
      <c r="C34" s="296"/>
      <c r="D34" s="299"/>
      <c r="E34" s="287"/>
      <c r="F34" s="165" t="s">
        <v>67</v>
      </c>
      <c r="G34" s="25"/>
    </row>
    <row r="35" spans="1:7" ht="29.15" customHeight="1">
      <c r="A35" s="289"/>
      <c r="B35" s="302"/>
      <c r="C35" s="296"/>
      <c r="D35" s="299"/>
      <c r="E35" s="287"/>
      <c r="F35" s="165" t="s">
        <v>68</v>
      </c>
      <c r="G35" s="25"/>
    </row>
    <row r="36" spans="1:7" ht="121">
      <c r="A36" s="289"/>
      <c r="B36" s="303"/>
      <c r="C36" s="297"/>
      <c r="D36" s="300"/>
      <c r="E36" s="288"/>
      <c r="F36" s="166" t="s">
        <v>69</v>
      </c>
      <c r="G36" s="25"/>
    </row>
    <row r="37" spans="1:7" ht="100">
      <c r="A37" s="289"/>
      <c r="B37" s="141">
        <v>3.01</v>
      </c>
      <c r="C37" s="142" t="s">
        <v>70</v>
      </c>
      <c r="D37" s="28" t="s">
        <v>2268</v>
      </c>
      <c r="E37" s="167" t="s">
        <v>1328</v>
      </c>
      <c r="F37" s="168" t="s">
        <v>1434</v>
      </c>
      <c r="G37" s="25"/>
    </row>
    <row r="38" spans="1:7" ht="90">
      <c r="A38" s="289"/>
      <c r="B38" s="141">
        <v>3.02</v>
      </c>
      <c r="C38" s="142" t="s">
        <v>1361</v>
      </c>
      <c r="D38" s="28" t="s">
        <v>2269</v>
      </c>
      <c r="E38" s="167" t="s">
        <v>1376</v>
      </c>
      <c r="F38" s="168" t="s">
        <v>1435</v>
      </c>
      <c r="G38" s="25"/>
    </row>
    <row r="39" spans="1:7" ht="80">
      <c r="A39" s="289"/>
      <c r="B39" s="150">
        <v>4</v>
      </c>
      <c r="C39" s="149" t="s">
        <v>1531</v>
      </c>
      <c r="D39" s="28" t="s">
        <v>2270</v>
      </c>
      <c r="E39" s="27" t="s">
        <v>2213</v>
      </c>
      <c r="F39" s="27" t="s">
        <v>1532</v>
      </c>
      <c r="G39" s="25"/>
    </row>
    <row r="40" spans="1:7" ht="50">
      <c r="A40" s="289"/>
      <c r="B40" s="141">
        <v>4.01</v>
      </c>
      <c r="C40" s="149" t="s">
        <v>1531</v>
      </c>
      <c r="D40" s="28" t="s">
        <v>2272</v>
      </c>
      <c r="E40" s="27" t="s">
        <v>2227</v>
      </c>
      <c r="F40" s="27" t="s">
        <v>2231</v>
      </c>
      <c r="G40" s="25"/>
    </row>
    <row r="41" spans="1:7" ht="50">
      <c r="A41" s="289"/>
      <c r="B41" s="141" t="s">
        <v>2259</v>
      </c>
      <c r="C41" s="149" t="s">
        <v>1531</v>
      </c>
      <c r="D41" s="28" t="s">
        <v>2271</v>
      </c>
      <c r="E41" s="27" t="s">
        <v>2262</v>
      </c>
      <c r="F41" s="27" t="s">
        <v>2260</v>
      </c>
      <c r="G41" s="25"/>
    </row>
    <row r="42" spans="1:7" ht="50">
      <c r="A42" s="289"/>
      <c r="B42" s="141" t="s">
        <v>2295</v>
      </c>
      <c r="C42" s="149" t="s">
        <v>1531</v>
      </c>
      <c r="D42" s="28" t="s">
        <v>2302</v>
      </c>
      <c r="E42" s="27" t="s">
        <v>2261</v>
      </c>
      <c r="F42" s="27" t="s">
        <v>2296</v>
      </c>
      <c r="G42" s="25"/>
    </row>
    <row r="43" spans="1:7" ht="110">
      <c r="A43" s="289"/>
      <c r="B43" s="160">
        <v>4.0999999999999996</v>
      </c>
      <c r="C43" s="149" t="s">
        <v>2301</v>
      </c>
      <c r="D43" s="161">
        <v>42867</v>
      </c>
      <c r="E43" s="169" t="s">
        <v>2304</v>
      </c>
      <c r="F43" s="27" t="s">
        <v>2303</v>
      </c>
      <c r="G43" s="25"/>
    </row>
    <row r="44" spans="1:7" ht="70">
      <c r="A44" s="289"/>
      <c r="B44" s="160">
        <v>4.2</v>
      </c>
      <c r="C44" s="149" t="s">
        <v>2301</v>
      </c>
      <c r="D44" s="161">
        <v>42704</v>
      </c>
      <c r="E44" s="169" t="s">
        <v>2503</v>
      </c>
      <c r="F44" s="27" t="s">
        <v>2478</v>
      </c>
      <c r="G44" s="25"/>
    </row>
    <row r="45" spans="1:7" ht="130">
      <c r="A45" s="289"/>
      <c r="B45" s="203">
        <v>5</v>
      </c>
      <c r="C45" s="149" t="s">
        <v>2301</v>
      </c>
      <c r="D45" s="161">
        <v>42867</v>
      </c>
      <c r="E45" s="169" t="s">
        <v>12784</v>
      </c>
      <c r="F45" s="27" t="s">
        <v>12506</v>
      </c>
      <c r="G45" s="25"/>
    </row>
    <row r="46" spans="1:7" ht="30">
      <c r="A46" s="289"/>
      <c r="B46" s="160">
        <v>5.01</v>
      </c>
      <c r="C46" s="149" t="s">
        <v>2301</v>
      </c>
      <c r="D46" s="161">
        <v>42907</v>
      </c>
      <c r="E46" s="169" t="s">
        <v>15650</v>
      </c>
      <c r="F46" s="27" t="s">
        <v>12506</v>
      </c>
      <c r="G46" s="25"/>
    </row>
    <row r="47" spans="1:7" ht="60">
      <c r="A47" s="289"/>
      <c r="B47" s="160">
        <v>5.0999999999999996</v>
      </c>
      <c r="C47" s="149" t="s">
        <v>2301</v>
      </c>
      <c r="D47" s="161">
        <v>43070</v>
      </c>
      <c r="E47" s="169" t="s">
        <v>12994</v>
      </c>
      <c r="F47" s="27" t="s">
        <v>12995</v>
      </c>
      <c r="G47" s="25"/>
    </row>
    <row r="48" spans="1:7" ht="50">
      <c r="A48" s="289"/>
      <c r="B48" s="160">
        <v>5.1100000000000003</v>
      </c>
      <c r="C48" s="149" t="s">
        <v>13232</v>
      </c>
      <c r="D48" s="161">
        <v>43217</v>
      </c>
      <c r="E48" s="169" t="s">
        <v>13358</v>
      </c>
      <c r="F48" s="27" t="s">
        <v>13266</v>
      </c>
      <c r="G48" s="25"/>
    </row>
    <row r="49" spans="1:7" ht="50">
      <c r="A49" s="289"/>
      <c r="B49" s="160">
        <v>5.12</v>
      </c>
      <c r="C49" s="149" t="s">
        <v>13232</v>
      </c>
      <c r="D49" s="161">
        <v>43581</v>
      </c>
      <c r="E49" s="169" t="s">
        <v>13358</v>
      </c>
      <c r="F49" s="27" t="s">
        <v>13920</v>
      </c>
      <c r="G49" s="25"/>
    </row>
    <row r="50" spans="1:7" ht="70">
      <c r="A50" s="289"/>
      <c r="B50" s="203">
        <v>6</v>
      </c>
      <c r="C50" s="149" t="s">
        <v>13232</v>
      </c>
      <c r="D50" s="161">
        <v>43964</v>
      </c>
      <c r="E50" s="169" t="s">
        <v>14138</v>
      </c>
      <c r="F50" s="27" t="s">
        <v>13925</v>
      </c>
      <c r="G50" s="25"/>
    </row>
    <row r="51" spans="1:7" ht="40">
      <c r="A51" s="289"/>
      <c r="B51" s="160">
        <v>6.01</v>
      </c>
      <c r="C51" s="149" t="s">
        <v>13232</v>
      </c>
      <c r="D51" s="161">
        <v>43970</v>
      </c>
      <c r="E51" s="169" t="s">
        <v>15651</v>
      </c>
      <c r="F51" s="169" t="s">
        <v>13925</v>
      </c>
      <c r="G51" s="25"/>
    </row>
    <row r="52" spans="1:7" ht="40">
      <c r="A52" s="289"/>
      <c r="B52" s="160">
        <v>6.1</v>
      </c>
      <c r="C52" s="149" t="s">
        <v>13232</v>
      </c>
      <c r="D52" s="161">
        <v>44314</v>
      </c>
      <c r="E52" s="169" t="s">
        <v>15631</v>
      </c>
      <c r="F52" s="169" t="s">
        <v>15144</v>
      </c>
      <c r="G52" s="25"/>
    </row>
    <row r="53" spans="1:7" ht="40">
      <c r="A53" s="289"/>
      <c r="B53" s="160">
        <v>6.2</v>
      </c>
      <c r="C53" s="149" t="s">
        <v>13232</v>
      </c>
      <c r="D53" s="161">
        <v>44678</v>
      </c>
      <c r="E53" s="169" t="s">
        <v>15631</v>
      </c>
      <c r="F53" s="169" t="s">
        <v>15624</v>
      </c>
      <c r="G53" s="25"/>
    </row>
    <row r="54" spans="1:7" ht="40">
      <c r="A54" s="289"/>
      <c r="B54" s="160">
        <v>6.21</v>
      </c>
      <c r="C54" s="149" t="s">
        <v>13232</v>
      </c>
      <c r="D54" s="161">
        <v>44687</v>
      </c>
      <c r="E54" s="169" t="s">
        <v>15652</v>
      </c>
      <c r="F54" s="169" t="s">
        <v>15624</v>
      </c>
      <c r="G54" s="25"/>
    </row>
    <row r="55" spans="1:7" ht="40">
      <c r="A55" s="289"/>
      <c r="B55" s="160">
        <v>6.22</v>
      </c>
      <c r="C55" s="149" t="s">
        <v>13232</v>
      </c>
      <c r="D55" s="279">
        <v>44692</v>
      </c>
      <c r="E55" s="169" t="s">
        <v>15651</v>
      </c>
      <c r="F55" s="169" t="s">
        <v>15624</v>
      </c>
      <c r="G55" s="25"/>
    </row>
    <row r="56" spans="1:7" ht="14" thickBot="1">
      <c r="A56" s="290"/>
      <c r="B56" s="291" t="str">
        <f ca="1">OFFSET(L!$C$1,MATCH("General"&amp;"Cpy",L!$A:$A,0)-1,SL,,)</f>
        <v>© 2022 Responsible Minerals Initiative. All rights reserved.</v>
      </c>
      <c r="C56" s="291"/>
      <c r="D56" s="291"/>
      <c r="E56" s="291"/>
      <c r="F56" s="291"/>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8EAE1DF-1876-479D-A865-9AA4658F515D}"/>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A3B1CE3-94C9-4E16-882B-D9CC98D7CD88}"/>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35"/>
      <c r="B1" s="336"/>
      <c r="C1" s="336"/>
      <c r="D1" s="336"/>
      <c r="E1" s="336"/>
      <c r="F1" s="336"/>
      <c r="G1" s="336"/>
      <c r="H1" s="336"/>
      <c r="I1" s="336"/>
      <c r="J1" s="336"/>
      <c r="K1" s="337"/>
      <c r="L1" s="100"/>
      <c r="P1" s="3"/>
      <c r="Q1" s="3"/>
      <c r="R1" s="3"/>
      <c r="S1" s="3"/>
      <c r="T1" s="3"/>
      <c r="U1" s="3"/>
      <c r="V1" s="3"/>
      <c r="W1" s="3"/>
      <c r="X1" s="3"/>
      <c r="Y1" s="3"/>
      <c r="Z1" s="3"/>
      <c r="AA1" s="3"/>
      <c r="AB1" s="3"/>
      <c r="AC1" s="3"/>
      <c r="AD1" s="3"/>
      <c r="AE1" s="3"/>
      <c r="AF1" s="3"/>
      <c r="AG1" s="3"/>
      <c r="AH1" s="3"/>
    </row>
    <row r="2" spans="1:34" ht="82.4" customHeight="1">
      <c r="A2" s="34"/>
      <c r="B2" s="136"/>
      <c r="C2" s="35"/>
      <c r="D2" s="338" t="str">
        <f ca="1">OFFSET(L!$C$1,MATCH("Declaration"&amp;ADDRESS(ROW(),COLUMN(),4),L!$A:$A,0)-1,SL,,)</f>
        <v>Conflict Minerals Reporting Template (CMRT)</v>
      </c>
      <c r="E2" s="339"/>
      <c r="F2" s="339"/>
      <c r="G2" s="339"/>
      <c r="H2" s="339"/>
      <c r="I2" s="339"/>
      <c r="J2" s="34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1"/>
      <c r="G3" s="351"/>
      <c r="H3" s="351"/>
      <c r="I3" s="152"/>
      <c r="J3" s="138" t="s">
        <v>15654</v>
      </c>
      <c r="K3" s="36"/>
      <c r="L3" s="100"/>
      <c r="P3" s="45">
        <f>MATCH($D$3,LN,0)</f>
        <v>1</v>
      </c>
    </row>
    <row r="4" spans="1:34" ht="15">
      <c r="A4" s="34"/>
      <c r="B4" s="347" t="str">
        <f ca="1">OFFSET(L!$C$1,MATCH("Declaration"&amp;ADDRESS(ROW(),COLUMN(),4),L!$A:$A,0)-1,SL,,)</f>
        <v>The purpose of this document is to collect sourcing information on tin, tantalum, tungsten and gold used in products</v>
      </c>
      <c r="C4" s="347"/>
      <c r="D4" s="347"/>
      <c r="E4" s="347"/>
      <c r="F4" s="347"/>
      <c r="G4" s="347"/>
      <c r="H4" s="347"/>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443</v>
      </c>
      <c r="P6" s="3"/>
      <c r="Q6" s="3"/>
      <c r="R6" s="3"/>
      <c r="S6" s="3"/>
      <c r="T6" s="3"/>
      <c r="U6" s="3"/>
      <c r="V6" s="3"/>
      <c r="W6" s="3"/>
      <c r="X6" s="3"/>
      <c r="Y6" s="3"/>
      <c r="Z6" s="3"/>
      <c r="AA6" s="3"/>
      <c r="AB6" s="3"/>
      <c r="AC6" s="3"/>
      <c r="AD6" s="3"/>
      <c r="AE6" s="3"/>
      <c r="AF6" s="3"/>
      <c r="AG6" s="3"/>
      <c r="AH6" s="3"/>
    </row>
    <row r="7" spans="1:34" ht="37"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1" t="s">
        <v>15655</v>
      </c>
      <c r="E8" s="342"/>
      <c r="F8" s="342"/>
      <c r="G8" s="342"/>
      <c r="H8" s="342"/>
      <c r="I8" s="342"/>
      <c r="J8" s="343"/>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3" t="s">
        <v>495</v>
      </c>
      <c r="E9" s="354"/>
      <c r="F9" s="354"/>
      <c r="G9" s="35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57" t="str">
        <f ca="1">OFFSET(L!$C$1,MATCH("Declaration"&amp;ADDRESS(ROW(),COLUMN(),4)&amp;LEFT($D$9,1),L!$A:$A,0)-1,SL,,)</f>
        <v>Go to Product List tab to enter products this declaration applies to</v>
      </c>
      <c r="C10" s="122"/>
      <c r="D10" s="348"/>
      <c r="E10" s="349"/>
      <c r="F10" s="349"/>
      <c r="G10" s="349"/>
      <c r="H10" s="349"/>
      <c r="I10" s="349"/>
      <c r="J10" s="350"/>
      <c r="K10" s="36"/>
      <c r="L10" s="115"/>
      <c r="Q10" s="3"/>
      <c r="R10" s="3"/>
      <c r="S10" s="3"/>
      <c r="T10" s="3"/>
      <c r="U10" s="3"/>
      <c r="V10" s="3"/>
      <c r="W10" s="3"/>
      <c r="X10" s="3"/>
      <c r="Y10" s="3"/>
      <c r="Z10" s="3"/>
      <c r="AA10" s="3"/>
      <c r="AB10" s="3"/>
      <c r="AC10" s="3"/>
      <c r="AD10" s="3"/>
      <c r="AE10" s="3"/>
      <c r="AF10" s="3"/>
      <c r="AG10" s="3"/>
      <c r="AH10" s="3"/>
    </row>
    <row r="11" spans="1:34" ht="15">
      <c r="A11" s="38"/>
      <c r="B11" s="358"/>
      <c r="C11" s="122"/>
      <c r="D11" s="364" t="str">
        <f ca="1">IF(D9=Q9,OFFSET(L!$C$1,MATCH("Declaration"&amp;ADDRESS(ROW(),COLUMN(),4),L!$A:$A,0)-1,SL,,),"")</f>
        <v>Click here to enter the products this declaration applies to</v>
      </c>
      <c r="E11" s="365"/>
      <c r="F11" s="365"/>
      <c r="G11" s="365"/>
      <c r="H11" s="365"/>
      <c r="I11" s="365"/>
      <c r="J11" s="36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4" t="s">
        <v>15656</v>
      </c>
      <c r="E14" s="345"/>
      <c r="F14" s="345"/>
      <c r="G14" s="345"/>
      <c r="H14" s="345"/>
      <c r="I14" s="345"/>
      <c r="J14" s="34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4" t="s">
        <v>15657</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59" t="s">
        <v>15658</v>
      </c>
      <c r="E16" s="360"/>
      <c r="F16" s="360"/>
      <c r="G16" s="360"/>
      <c r="H16" s="360"/>
      <c r="I16" s="360"/>
      <c r="J16" s="36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4" t="s">
        <v>15659</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7" t="s">
        <v>15660</v>
      </c>
      <c r="E18" s="378"/>
      <c r="F18" s="378"/>
      <c r="G18" s="378"/>
      <c r="H18" s="378"/>
      <c r="I18" s="378"/>
      <c r="J18" s="379"/>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4" t="s">
        <v>15661</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9" t="s">
        <v>15662</v>
      </c>
      <c r="E20" s="360"/>
      <c r="F20" s="360"/>
      <c r="G20" s="360"/>
      <c r="H20" s="360"/>
      <c r="I20" s="360"/>
      <c r="J20" s="36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t="s">
        <v>15663</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1">
        <v>45000</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9"/>
      <c r="E23" s="36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8"/>
      <c r="I37" s="368"/>
      <c r="J37" s="368"/>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19" t="s">
        <v>488</v>
      </c>
      <c r="E39" s="320"/>
      <c r="F39" s="47"/>
      <c r="G39" s="330" t="s">
        <v>15664</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19" t="s">
        <v>488</v>
      </c>
      <c r="E45" s="320"/>
      <c r="F45" s="47"/>
      <c r="G45" s="330" t="s">
        <v>15664</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2"/>
      <c r="E56" s="363"/>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2">
        <v>1</v>
      </c>
      <c r="E57" s="363"/>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2"/>
      <c r="E58" s="363"/>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2"/>
      <c r="E59" s="363"/>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7"/>
      <c r="I61" s="367"/>
      <c r="J61" s="367"/>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7" t="str">
        <f>IF(Q75="(*)","Click here to enter smelter names","")</f>
        <v/>
      </c>
      <c r="I67" s="367"/>
      <c r="J67" s="367"/>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5"/>
      <c r="H76" s="375"/>
      <c r="I76" s="375"/>
      <c r="J76" s="37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2" t="s">
        <v>15665</v>
      </c>
      <c r="H77" s="333"/>
      <c r="I77" s="333"/>
      <c r="J77" s="334"/>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3" t="s">
        <v>488</v>
      </c>
      <c r="E85" s="374"/>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5"/>
      <c r="H86" s="375"/>
      <c r="I86" s="375"/>
      <c r="J86" s="37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6"/>
      <c r="H88" s="376"/>
      <c r="I88" s="376"/>
      <c r="J88" s="37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2" t="str">
        <f>IF(OR($D$8="",$I$3=""),"","Click here to check required fields completion")</f>
        <v/>
      </c>
      <c r="C90" s="372"/>
      <c r="D90" s="372"/>
      <c r="E90" s="372"/>
      <c r="F90" s="372"/>
      <c r="G90" s="372"/>
      <c r="H90" s="372"/>
      <c r="I90" s="372"/>
      <c r="J90" s="372"/>
      <c r="K90" s="36"/>
      <c r="L90" s="100"/>
      <c r="P90" s="3"/>
      <c r="Q90" s="3"/>
      <c r="R90" s="3"/>
      <c r="S90" s="3"/>
      <c r="T90" s="3"/>
      <c r="U90" s="3"/>
      <c r="V90" s="3"/>
      <c r="W90" s="3"/>
      <c r="X90" s="3"/>
      <c r="Y90" s="3"/>
      <c r="Z90" s="3"/>
      <c r="AA90" s="3"/>
      <c r="AB90" s="3"/>
      <c r="AC90" s="3"/>
      <c r="AD90" s="3"/>
      <c r="AE90" s="3"/>
      <c r="AF90" s="3"/>
      <c r="AG90" s="3"/>
      <c r="AH90" s="3"/>
    </row>
    <row r="91" spans="1:34" ht="15.5" thickBot="1">
      <c r="A91" s="370" t="str">
        <f ca="1">OFFSET(L!$C$1,MATCH("General"&amp;"Cpy",L!$A:$A,0)-1,SL,,)</f>
        <v>© 2022 Responsible Minerals Initiative. All rights reserved.</v>
      </c>
      <c r="B91" s="371"/>
      <c r="C91" s="371"/>
      <c r="D91" s="371"/>
      <c r="E91" s="371"/>
      <c r="F91" s="371"/>
      <c r="G91" s="371"/>
      <c r="H91" s="371"/>
      <c r="I91" s="371"/>
      <c r="J91" s="371"/>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37"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12" sqref="C12"/>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t="s">
        <v>784</v>
      </c>
      <c r="B5" s="182" t="str">
        <f ca="1">IF(LEN(A5)=0,"",INDEX('Smelter Look-up'!$A:$A,MATCH($A5,'Smelter Look-up'!$E:$E,0)))</f>
        <v>Tin</v>
      </c>
      <c r="C5" s="186" t="str">
        <f ca="1">IF(LEN(A5)=0,"",INDEX('Smelter Look-up'!$C:$C,MATCH($A5,'Smelter Look-up'!$E:$E,0)))</f>
        <v>PT Timah Tbk Mentok</v>
      </c>
      <c r="D5" s="233"/>
      <c r="E5" s="182" t="str">
        <f ca="1">IF(ISERROR($V5),"",OFFSET('Smelter Look-up'!$D$4,$V5-4,0)&amp;"")</f>
        <v>INDONESIA</v>
      </c>
      <c r="F5" s="182" t="str">
        <f ca="1">IF(ISERROR($V5),"",OFFSET('Smelter Look-up'!$E$4,$V5-4,0))</f>
        <v>CID001482</v>
      </c>
      <c r="G5" s="182" t="str">
        <f ca="1">IF(C5=$X$4,IF(ISERROR($V5),"Enter smelter details","RMI"),IF(ISERROR($V5),"",OFFSET('Smelter Look-up'!$F$4,$V5-4,0)))</f>
        <v>RMI</v>
      </c>
      <c r="H5" s="183">
        <v>0</v>
      </c>
      <c r="I5" s="184" t="str">
        <f ca="1">IF(ISERROR($V5),"",OFFSET('Smelter Look-up'!$H$4,$V5-4,0))</f>
        <v>Mentok</v>
      </c>
      <c r="J5" s="184" t="str">
        <f ca="1">IF(ISERROR($V5),"",OFFSET('Smelter Look-up'!$I$4,$V5-4,0))</f>
        <v>Kepulauan Bangka Belitung</v>
      </c>
      <c r="K5" s="225" t="s">
        <v>15679</v>
      </c>
      <c r="L5" s="225" t="s">
        <v>15666</v>
      </c>
      <c r="M5" s="225" t="s">
        <v>15680</v>
      </c>
      <c r="N5" s="225" t="s">
        <v>15667</v>
      </c>
      <c r="O5" s="225" t="s">
        <v>15667</v>
      </c>
      <c r="P5" s="185" t="s">
        <v>489</v>
      </c>
      <c r="Q5" s="226"/>
      <c r="R5" s="182" t="str">
        <f ca="1">IF(ISERROR($V5),"",OFFSET('Smelter Look-up'!$C$4,$V5-4,0)&amp;"")</f>
        <v>PT Timah Tbk Mentok</v>
      </c>
      <c r="S5" s="181" t="str">
        <f t="shared" ref="S5" ca="1" si="0">IF(B5="","",IF(ISERROR(MATCH($E5,CL,0)),"Unknown",INDIRECT("'C'!$A$"&amp;MATCH($E5,CL,0)+1)))</f>
        <v>ID</v>
      </c>
      <c r="T5" s="181" t="str">
        <f ca="1">IF(B5="","",IF(ISERROR(MATCH($J5,SorP!$B$1:$B$6230,0)),"",INDIRECT("'SorP'!$A$"&amp;MATCH($J5,SorP!$B$1:$B$6230,0))))</f>
        <v>ID-BB</v>
      </c>
      <c r="U5" s="201"/>
      <c r="V5" s="227">
        <f ca="1">IF(C5="",NA(),IF(OR(C5="Smelter not listed",C5="Smelter not yet identified"),MATCH($B5&amp;$D5,'Smelter Look-up'!$J:$J,0),MATCH($B5&amp;$C5,'Smelter Look-up'!$J:$J,0)))</f>
        <v>509</v>
      </c>
      <c r="X5" s="228">
        <f t="shared" ref="X5" ca="1" si="1">IF(AND(C5="Smelter not listed",OR(LEN(D5)=0,LEN(E5)=0)),1,0)</f>
        <v>0</v>
      </c>
      <c r="AB5" s="229" t="str">
        <f t="shared" ref="AB5" ca="1" si="2">B5&amp;C5</f>
        <v>TinPT Timah Tbk Mentok</v>
      </c>
    </row>
    <row r="6" spans="1:34" s="228" customFormat="1" ht="20" customHeight="1">
      <c r="A6" s="266" t="s">
        <v>804</v>
      </c>
      <c r="B6" s="182" t="str">
        <f ca="1">IF(LEN(A6)=0,"",INDEX('Smelter Look-up'!$A:$A,MATCH($A6,'Smelter Look-up'!$E:$E,0)))</f>
        <v>Tin</v>
      </c>
      <c r="C6" s="186" t="str">
        <f ca="1">IF(LEN(A6)=0,"",INDEX('Smelter Look-up'!$C:$C,MATCH($A6,'Smelter Look-up'!$E:$E,0)))</f>
        <v>PT Timah Tbk Kundur</v>
      </c>
      <c r="D6" s="233"/>
      <c r="E6" s="182" t="str">
        <f ca="1">IF(ISERROR($V6),"",OFFSET('Smelter Look-up'!$D$4,$V6-4,0)&amp;"")</f>
        <v>INDONESIA</v>
      </c>
      <c r="F6" s="182" t="str">
        <f ca="1">IF(ISERROR($V6),"",OFFSET('Smelter Look-up'!$E$4,$V6-4,0))</f>
        <v>CID001477</v>
      </c>
      <c r="G6" s="182" t="str">
        <f ca="1">IF(C6=$X$4,IF(ISERROR($V6),"Enter smelter details","RMI"),IF(ISERROR($V6),"",OFFSET('Smelter Look-up'!$F$4,$V6-4,0)))</f>
        <v>RMI</v>
      </c>
      <c r="H6" s="183">
        <v>0</v>
      </c>
      <c r="I6" s="184" t="str">
        <f ca="1">IF(ISERROR($V6),"",OFFSET('Smelter Look-up'!$H$4,$V6-4,0))</f>
        <v>Kundur</v>
      </c>
      <c r="J6" s="184" t="str">
        <f ca="1">IF(ISERROR($V6),"",OFFSET('Smelter Look-up'!$I$4,$V6-4,0))</f>
        <v>Riau</v>
      </c>
      <c r="K6" s="225" t="s">
        <v>15681</v>
      </c>
      <c r="L6" s="225" t="s">
        <v>15682</v>
      </c>
      <c r="M6" s="225" t="s">
        <v>15680</v>
      </c>
      <c r="N6" s="225" t="s">
        <v>15683</v>
      </c>
      <c r="O6" s="225" t="s">
        <v>15667</v>
      </c>
      <c r="P6" s="185" t="s">
        <v>489</v>
      </c>
      <c r="Q6" s="226"/>
      <c r="R6" s="182" t="str">
        <f ca="1">IF(ISERROR($V6),"",OFFSET('Smelter Look-up'!$C$4,$V6-4,0)&amp;"")</f>
        <v>PT Timah Tbk Kundur</v>
      </c>
      <c r="S6" s="181" t="str">
        <f t="shared" ref="S6:S37" ca="1" si="3">IF(B6="","",IF(ISERROR(MATCH($E6,CL,0)),"Unknown",INDIRECT("'C'!$A$"&amp;MATCH($E6,CL,0)+1)))</f>
        <v>ID</v>
      </c>
      <c r="T6" s="181" t="str">
        <f ca="1">IF(B6="","",IF(ISERROR(MATCH($J6,SorP!$B$1:$B$6230,0)),"",INDIRECT("'SorP'!$A$"&amp;MATCH($J6,SorP!$B$1:$B$6230,0))))</f>
        <v>ID-RI</v>
      </c>
      <c r="U6" s="201"/>
      <c r="V6" s="227">
        <f ca="1">IF(C6="",NA(),IF(OR(C6="Smelter not listed",C6="Smelter not yet identified"),MATCH($B6&amp;$D6,'Smelter Look-up'!$J:$J,0),MATCH($B6&amp;$C6,'Smelter Look-up'!$J:$J,0)))</f>
        <v>508</v>
      </c>
      <c r="X6" s="228">
        <f t="shared" ref="X6:X37" ca="1" si="4">IF(AND(C6="Smelter not listed",OR(LEN(D6)=0,LEN(E6)=0)),1,0)</f>
        <v>0</v>
      </c>
      <c r="AB6" s="229" t="str">
        <f t="shared" ref="AB6:AB37" ca="1" si="5">B6&amp;C6</f>
        <v>TinPT Timah Tbk Kundur</v>
      </c>
    </row>
    <row r="7" spans="1:34" s="228" customFormat="1" ht="20" customHeight="1">
      <c r="A7" s="266" t="s">
        <v>783</v>
      </c>
      <c r="B7" s="182" t="str">
        <f ca="1">IF(LEN(A7)=0,"",INDEX('Smelter Look-up'!$A:$A,MATCH($A7,'Smelter Look-up'!$E:$E,0)))</f>
        <v>Tin</v>
      </c>
      <c r="C7" s="186" t="str">
        <f ca="1">IF(LEN(A7)=0,"",INDEX('Smelter Look-up'!$C:$C,MATCH($A7,'Smelter Look-up'!$E:$E,0)))</f>
        <v>PT Refined Bangka Tin</v>
      </c>
      <c r="D7" s="233"/>
      <c r="E7" s="182" t="str">
        <f ca="1">IF(ISERROR($V7),"",OFFSET('Smelter Look-up'!$D$4,$V7-4,0)&amp;"")</f>
        <v>INDONESIA</v>
      </c>
      <c r="F7" s="182" t="str">
        <f ca="1">IF(ISERROR($V7),"",OFFSET('Smelter Look-up'!$E$4,$V7-4,0))</f>
        <v>CID001460</v>
      </c>
      <c r="G7" s="182" t="str">
        <f ca="1">IF(C7=$X$4,IF(ISERROR($V7),"Enter smelter details","RMI"),IF(ISERROR($V7),"",OFFSET('Smelter Look-up'!$F$4,$V7-4,0)))</f>
        <v>RMI</v>
      </c>
      <c r="H7" s="183">
        <v>0</v>
      </c>
      <c r="I7" s="184" t="str">
        <f ca="1">IF(ISERROR($V7),"",OFFSET('Smelter Look-up'!$H$4,$V7-4,0))</f>
        <v>Sungailiat</v>
      </c>
      <c r="J7" s="184" t="str">
        <f ca="1">IF(ISERROR($V7),"",OFFSET('Smelter Look-up'!$I$4,$V7-4,0))</f>
        <v>Kepulauan Bangka Belitung</v>
      </c>
      <c r="K7" s="225" t="s">
        <v>15684</v>
      </c>
      <c r="L7" s="225" t="s">
        <v>15685</v>
      </c>
      <c r="M7" s="225" t="s">
        <v>15680</v>
      </c>
      <c r="N7" s="225" t="s">
        <v>15683</v>
      </c>
      <c r="O7" s="225" t="s">
        <v>15667</v>
      </c>
      <c r="P7" s="185" t="s">
        <v>489</v>
      </c>
      <c r="Q7" s="226"/>
      <c r="R7" s="182" t="str">
        <f ca="1">IF(ISERROR($V7),"",OFFSET('Smelter Look-up'!$C$4,$V7-4,0)&amp;"")</f>
        <v>PT Refined Bangka Tin</v>
      </c>
      <c r="S7" s="181" t="str">
        <f t="shared" ca="1" si="3"/>
        <v>ID</v>
      </c>
      <c r="T7" s="181" t="str">
        <f ca="1">IF(B7="","",IF(ISERROR(MATCH($J7,SorP!$B$1:$B$6230,0)),"",INDIRECT("'SorP'!$A$"&amp;MATCH($J7,SorP!$B$1:$B$6230,0))))</f>
        <v>ID-BB</v>
      </c>
      <c r="U7" s="201"/>
      <c r="V7" s="227">
        <f ca="1">IF(C7="",NA(),IF(OR(C7="Smelter not listed",C7="Smelter not yet identified"),MATCH($B7&amp;$D7,'Smelter Look-up'!$J:$J,0),MATCH($B7&amp;$C7,'Smelter Look-up'!$J:$J,0)))</f>
        <v>502</v>
      </c>
      <c r="X7" s="228">
        <f t="shared" ca="1" si="4"/>
        <v>0</v>
      </c>
      <c r="AB7" s="229" t="str">
        <f t="shared" ca="1" si="5"/>
        <v>TinPT Refined Bangka Tin</v>
      </c>
    </row>
    <row r="8" spans="1:34" s="228" customFormat="1" ht="20" customHeight="1">
      <c r="A8" s="266" t="s">
        <v>1402</v>
      </c>
      <c r="B8" s="182" t="str">
        <f ca="1">IF(LEN(A8)=0,"",INDEX('Smelter Look-up'!$A:$A,MATCH($A8,'Smelter Look-up'!$E:$E,0)))</f>
        <v>Tin</v>
      </c>
      <c r="C8" s="186" t="str">
        <f ca="1">IF(LEN(A8)=0,"",INDEX('Smelter Look-up'!$C:$C,MATCH($A8,'Smelter Look-up'!$E:$E,0)))</f>
        <v>O.M. Manufacturing Philippines, Inc.</v>
      </c>
      <c r="D8" s="233"/>
      <c r="E8" s="182" t="str">
        <f ca="1">IF(ISERROR($V8),"",OFFSET('Smelter Look-up'!$D$4,$V8-4,0)&amp;"")</f>
        <v>PHILIPPINES</v>
      </c>
      <c r="F8" s="182" t="str">
        <f ca="1">IF(ISERROR($V8),"",OFFSET('Smelter Look-up'!$E$4,$V8-4,0))</f>
        <v>CID002517</v>
      </c>
      <c r="G8" s="182" t="str">
        <f ca="1">IF(C8=$X$4,IF(ISERROR($V8),"Enter smelter details","RMI"),IF(ISERROR($V8),"",OFFSET('Smelter Look-up'!$F$4,$V8-4,0)))</f>
        <v>RMI</v>
      </c>
      <c r="H8" s="183"/>
      <c r="I8" s="184" t="str">
        <f ca="1">IF(ISERROR($V8),"",OFFSET('Smelter Look-up'!$H$4,$V8-4,0))</f>
        <v>Rosario</v>
      </c>
      <c r="J8" s="184" t="str">
        <f ca="1">IF(ISERROR($V8),"",OFFSET('Smelter Look-up'!$I$4,$V8-4,0))</f>
        <v>Cavite</v>
      </c>
      <c r="K8" s="225" t="s">
        <v>15686</v>
      </c>
      <c r="L8" s="225" t="s">
        <v>15687</v>
      </c>
      <c r="M8" s="225" t="s">
        <v>15680</v>
      </c>
      <c r="N8" s="225" t="s">
        <v>15688</v>
      </c>
      <c r="O8" s="225" t="s">
        <v>15688</v>
      </c>
      <c r="P8" s="185" t="s">
        <v>488</v>
      </c>
      <c r="Q8" s="226"/>
      <c r="R8" s="182" t="str">
        <f ca="1">IF(ISERROR($V8),"",OFFSET('Smelter Look-up'!$C$4,$V8-4,0)&amp;"")</f>
        <v>O.M. Manufacturing Philippines, Inc.</v>
      </c>
      <c r="S8" s="181" t="str">
        <f t="shared" ca="1" si="3"/>
        <v>PH</v>
      </c>
      <c r="T8" s="181" t="str">
        <f ca="1">IF(B8="","",IF(ISERROR(MATCH($J8,SorP!$B$1:$B$6230,0)),"",INDIRECT("'SorP'!$A$"&amp;MATCH($J8,SorP!$B$1:$B$6230,0))))</f>
        <v>PH-CAV</v>
      </c>
      <c r="U8" s="201"/>
      <c r="V8" s="227">
        <f ca="1">IF(C8="",NA(),IF(OR(C8="Smelter not listed",C8="Smelter not yet identified"),MATCH($B8&amp;$D8,'Smelter Look-up'!$J:$J,0),MATCH($B8&amp;$C8,'Smelter Look-up'!$J:$J,0)))</f>
        <v>477</v>
      </c>
      <c r="X8" s="228">
        <f t="shared" ca="1" si="4"/>
        <v>0</v>
      </c>
      <c r="AB8" s="229" t="str">
        <f t="shared" ca="1" si="5"/>
        <v>TinO.M. Manufacturing Philippines, Inc.</v>
      </c>
    </row>
    <row r="9" spans="1:34" s="228" customFormat="1" ht="20" customHeight="1">
      <c r="A9" s="266" t="s">
        <v>788</v>
      </c>
      <c r="B9" s="182" t="str">
        <f ca="1">IF(LEN(A9)=0,"",INDEX('Smelter Look-up'!$A:$A,MATCH($A9,'Smelter Look-up'!$E:$E,0)))</f>
        <v>Tin</v>
      </c>
      <c r="C9" s="186" t="str">
        <f ca="1">IF(LEN(A9)=0,"",INDEX('Smelter Look-up'!$C:$C,MATCH($A9,'Smelter Look-up'!$E:$E,0)))</f>
        <v>Thaisarco</v>
      </c>
      <c r="D9" s="233"/>
      <c r="E9" s="182" t="str">
        <f ca="1">IF(ISERROR($V9),"",OFFSET('Smelter Look-up'!$D$4,$V9-4,0)&amp;"")</f>
        <v>THAILAND</v>
      </c>
      <c r="F9" s="182" t="str">
        <f ca="1">IF(ISERROR($V9),"",OFFSET('Smelter Look-up'!$E$4,$V9-4,0))</f>
        <v>CID001898</v>
      </c>
      <c r="G9" s="182" t="str">
        <f ca="1">IF(C9=$X$4,IF(ISERROR($V9),"Enter smelter details","RMI"),IF(ISERROR($V9),"",OFFSET('Smelter Look-up'!$F$4,$V9-4,0)))</f>
        <v>RMI</v>
      </c>
      <c r="H9" s="183"/>
      <c r="I9" s="184" t="str">
        <f ca="1">IF(ISERROR($V9),"",OFFSET('Smelter Look-up'!$H$4,$V9-4,0))</f>
        <v>Amphur Muang</v>
      </c>
      <c r="J9" s="184" t="str">
        <f ca="1">IF(ISERROR($V9),"",OFFSET('Smelter Look-up'!$I$4,$V9-4,0))</f>
        <v>Phuket</v>
      </c>
      <c r="K9" s="225" t="s">
        <v>15689</v>
      </c>
      <c r="L9" s="225" t="s">
        <v>15690</v>
      </c>
      <c r="M9" s="225" t="s">
        <v>15680</v>
      </c>
      <c r="N9" s="225" t="s">
        <v>15691</v>
      </c>
      <c r="O9" s="225" t="s">
        <v>15692</v>
      </c>
      <c r="P9" s="185" t="s">
        <v>489</v>
      </c>
      <c r="Q9" s="226"/>
      <c r="R9" s="182" t="str">
        <f ca="1">IF(ISERROR($V9),"",OFFSET('Smelter Look-up'!$C$4,$V9-4,0)&amp;"")</f>
        <v>Thaisarco</v>
      </c>
      <c r="S9" s="181" t="str">
        <f t="shared" ca="1" si="3"/>
        <v>TH</v>
      </c>
      <c r="T9" s="181" t="str">
        <f ca="1">IF(B9="","",IF(ISERROR(MATCH($J9,SorP!$B$1:$B$6230,0)),"",INDIRECT("'SorP'!$A$"&amp;MATCH($J9,SorP!$B$1:$B$6230,0))))</f>
        <v>TH-83</v>
      </c>
      <c r="U9" s="201"/>
      <c r="V9" s="227">
        <f ca="1">IF(C9="",NA(),IF(OR(C9="Smelter not listed",C9="Smelter not yet identified"),MATCH($B9&amp;$D9,'Smelter Look-up'!$J:$J,0),MATCH($B9&amp;$C9,'Smelter Look-up'!$J:$J,0)))</f>
        <v>523</v>
      </c>
      <c r="X9" s="228">
        <f t="shared" ca="1" si="4"/>
        <v>0</v>
      </c>
      <c r="AB9" s="229" t="str">
        <f t="shared" ca="1" si="5"/>
        <v>TinThaisarco</v>
      </c>
    </row>
    <row r="10" spans="1:34" s="228" customFormat="1" ht="20" customHeight="1">
      <c r="A10" s="266" t="s">
        <v>774</v>
      </c>
      <c r="B10" s="182" t="str">
        <f ca="1">IF(LEN(A10)=0,"",INDEX('Smelter Look-up'!$A:$A,MATCH($A10,'Smelter Look-up'!$E:$E,0)))</f>
        <v>Tin</v>
      </c>
      <c r="C10" s="186" t="str">
        <f ca="1">IF(LEN(A10)=0,"",INDEX('Smelter Look-up'!$C:$C,MATCH($A10,'Smelter Look-up'!$E:$E,0)))</f>
        <v>Malaysia Smelting Corporation (MSC)</v>
      </c>
      <c r="D10" s="233"/>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c r="I10" s="184" t="str">
        <f ca="1">IF(ISERROR($V10),"",OFFSET('Smelter Look-up'!$H$4,$V10-4,0))</f>
        <v>Butterworth</v>
      </c>
      <c r="J10" s="184" t="str">
        <f ca="1">IF(ISERROR($V10),"",OFFSET('Smelter Look-up'!$I$4,$V10-4,0))</f>
        <v>Pulau Pinang</v>
      </c>
      <c r="K10" s="225" t="s">
        <v>15693</v>
      </c>
      <c r="L10" s="225" t="s">
        <v>15694</v>
      </c>
      <c r="M10" s="225"/>
      <c r="N10" s="225" t="s">
        <v>15695</v>
      </c>
      <c r="O10" s="225" t="s">
        <v>15696</v>
      </c>
      <c r="P10" s="185" t="s">
        <v>489</v>
      </c>
      <c r="Q10" s="226"/>
      <c r="R10" s="182" t="str">
        <f ca="1">IF(ISERROR($V10),"",OFFSET('Smelter Look-up'!$C$4,$V10-4,0)&amp;"")</f>
        <v>Malaysia Smelting Corporation (MSC)</v>
      </c>
      <c r="S10" s="181" t="str">
        <f t="shared" ca="1" si="3"/>
        <v>MY</v>
      </c>
      <c r="T10" s="181" t="str">
        <f ca="1">IF(B10="","",IF(ISERROR(MATCH($J10,SorP!$B$1:$B$6230,0)),"",INDIRECT("'SorP'!$A$"&amp;MATCH($J10,SorP!$B$1:$B$6230,0))))</f>
        <v>MY-07</v>
      </c>
      <c r="U10" s="201"/>
      <c r="V10" s="227">
        <f ca="1">IF(C10="",NA(),IF(OR(C10="Smelter not listed",C10="Smelter not yet identified"),MATCH($B10&amp;$D10,'Smelter Look-up'!$J:$J,0),MATCH($B10&amp;$C10,'Smelter Look-up'!$J:$J,0)))</f>
        <v>457</v>
      </c>
      <c r="X10" s="228">
        <f t="shared" ca="1" si="4"/>
        <v>0</v>
      </c>
      <c r="AB10" s="229" t="str">
        <f t="shared" ca="1" si="5"/>
        <v>TinMalaysia Smelting Corporation (MSC)</v>
      </c>
    </row>
    <row r="11" spans="1:34" s="228" customFormat="1" ht="20" customHeight="1">
      <c r="A11" s="266" t="s">
        <v>775</v>
      </c>
      <c r="B11" s="182" t="str">
        <f ca="1">IF(LEN(A11)=0,"",INDEX('Smelter Look-up'!$A:$A,MATCH($A11,'Smelter Look-up'!$E:$E,0)))</f>
        <v>Tin</v>
      </c>
      <c r="C11" s="186" t="str">
        <f ca="1">IF(LEN(A11)=0,"",INDEX('Smelter Look-up'!$C:$C,MATCH($A11,'Smelter Look-up'!$E:$E,0)))</f>
        <v>Mineracao Taboca S.A.</v>
      </c>
      <c r="D11" s="233"/>
      <c r="E11" s="182" t="str">
        <f ca="1">IF(ISERROR($V11),"",OFFSET('Smelter Look-up'!$D$4,$V11-4,0)&amp;"")</f>
        <v>BRAZIL</v>
      </c>
      <c r="F11" s="182" t="str">
        <f ca="1">IF(ISERROR($V11),"",OFFSET('Smelter Look-up'!$E$4,$V11-4,0))</f>
        <v>CID001173</v>
      </c>
      <c r="G11" s="182" t="str">
        <f ca="1">IF(C11=$X$4,IF(ISERROR($V11),"Enter smelter details","RMI"),IF(ISERROR($V11),"",OFFSET('Smelter Look-up'!$F$4,$V11-4,0)))</f>
        <v>RMI</v>
      </c>
      <c r="H11" s="183">
        <v>0</v>
      </c>
      <c r="I11" s="184" t="str">
        <f ca="1">IF(ISERROR($V11),"",OFFSET('Smelter Look-up'!$H$4,$V11-4,0))</f>
        <v>Bairro Guarapiranga</v>
      </c>
      <c r="J11" s="184" t="str">
        <f ca="1">IF(ISERROR($V11),"",OFFSET('Smelter Look-up'!$I$4,$V11-4,0))</f>
        <v>São Paulo</v>
      </c>
      <c r="K11" s="225" t="s">
        <v>15669</v>
      </c>
      <c r="L11" s="225" t="s">
        <v>15670</v>
      </c>
      <c r="M11" s="225"/>
      <c r="N11" s="225" t="s">
        <v>15668</v>
      </c>
      <c r="O11" s="225" t="s">
        <v>15668</v>
      </c>
      <c r="P11" s="185" t="s">
        <v>489</v>
      </c>
      <c r="Q11" s="226"/>
      <c r="R11" s="182" t="str">
        <f ca="1">IF(ISERROR($V11),"",OFFSET('Smelter Look-up'!$C$4,$V11-4,0)&amp;"")</f>
        <v>Mineracao Taboca S.A.</v>
      </c>
      <c r="S11" s="181" t="str">
        <f t="shared" ca="1" si="3"/>
        <v>BR</v>
      </c>
      <c r="T11" s="181" t="str">
        <f ca="1">IF(B11="","",IF(ISERROR(MATCH($J11,SorP!$B$1:$B$6230,0)),"",INDIRECT("'SorP'!$A$"&amp;MATCH($J11,SorP!$B$1:$B$6230,0))))</f>
        <v>BR-SP</v>
      </c>
      <c r="U11" s="201"/>
      <c r="V11" s="227">
        <f ca="1">IF(C11="",NA(),IF(OR(C11="Smelter not listed",C11="Smelter not yet identified"),MATCH($B11&amp;$D11,'Smelter Look-up'!$J:$J,0),MATCH($B11&amp;$C11,'Smelter Look-up'!$J:$J,0)))</f>
        <v>464</v>
      </c>
      <c r="X11" s="228">
        <f t="shared" ca="1" si="4"/>
        <v>0</v>
      </c>
      <c r="AB11" s="229" t="str">
        <f t="shared" ca="1" si="5"/>
        <v>TinMineracao Taboca S.A.</v>
      </c>
    </row>
    <row r="12" spans="1:34" s="228" customFormat="1" ht="20" customHeight="1">
      <c r="A12" s="266" t="s">
        <v>776</v>
      </c>
      <c r="B12" s="182" t="str">
        <f ca="1">IF(LEN(A12)=0,"",INDEX('Smelter Look-up'!$A:$A,MATCH($A12,'Smelter Look-up'!$E:$E,0)))</f>
        <v>Tin</v>
      </c>
      <c r="C12" s="186" t="str">
        <f ca="1">IF(LEN(A12)=0,"",INDEX('Smelter Look-up'!$C:$C,MATCH($A12,'Smelter Look-up'!$E:$E,0)))</f>
        <v>Minsur</v>
      </c>
      <c r="D12" s="233"/>
      <c r="E12" s="182" t="str">
        <f ca="1">IF(ISERROR($V12),"",OFFSET('Smelter Look-up'!$D$4,$V12-4,0)&amp;"")</f>
        <v>PERU</v>
      </c>
      <c r="F12" s="182" t="str">
        <f ca="1">IF(ISERROR($V12),"",OFFSET('Smelter Look-up'!$E$4,$V12-4,0))</f>
        <v>CID001182</v>
      </c>
      <c r="G12" s="182" t="str">
        <f ca="1">IF(C12=$X$4,IF(ISERROR($V12),"Enter smelter details","RMI"),IF(ISERROR($V12),"",OFFSET('Smelter Look-up'!$F$4,$V12-4,0)))</f>
        <v>RMI</v>
      </c>
      <c r="H12" s="183">
        <v>0</v>
      </c>
      <c r="I12" s="184" t="str">
        <f ca="1">IF(ISERROR($V12),"",OFFSET('Smelter Look-up'!$H$4,$V12-4,0))</f>
        <v>Paracas</v>
      </c>
      <c r="J12" s="184" t="str">
        <f ca="1">IF(ISERROR($V12),"",OFFSET('Smelter Look-up'!$I$4,$V12-4,0))</f>
        <v>Ika</v>
      </c>
      <c r="K12" s="225"/>
      <c r="L12" s="225"/>
      <c r="M12" s="225"/>
      <c r="N12" s="225" t="s">
        <v>15671</v>
      </c>
      <c r="O12" s="225" t="s">
        <v>15672</v>
      </c>
      <c r="P12" s="185" t="s">
        <v>489</v>
      </c>
      <c r="Q12" s="226"/>
      <c r="R12" s="182" t="str">
        <f ca="1">IF(ISERROR($V12),"",OFFSET('Smelter Look-up'!$C$4,$V12-4,0)&amp;"")</f>
        <v>Minsur</v>
      </c>
      <c r="S12" s="181" t="str">
        <f t="shared" ca="1" si="3"/>
        <v>PE</v>
      </c>
      <c r="T12" s="181" t="str">
        <f ca="1">IF(B12="","",IF(ISERROR(MATCH($J12,SorP!$B$1:$B$6230,0)),"",INDIRECT("'SorP'!$A$"&amp;MATCH($J12,SorP!$B$1:$B$6230,0))))</f>
        <v>PE-ICA</v>
      </c>
      <c r="U12" s="201"/>
      <c r="V12" s="227">
        <f ca="1">IF(C12="",NA(),IF(OR(C12="Smelter not listed",C12="Smelter not yet identified"),MATCH($B12&amp;$D12,'Smelter Look-up'!$J:$J,0),MATCH($B12&amp;$C12,'Smelter Look-up'!$J:$J,0)))</f>
        <v>468</v>
      </c>
      <c r="X12" s="228">
        <f t="shared" ca="1" si="4"/>
        <v>0</v>
      </c>
      <c r="AB12" s="229" t="str">
        <f t="shared" ca="1" si="5"/>
        <v>TinMinsur</v>
      </c>
    </row>
    <row r="13" spans="1:34" s="228" customFormat="1" ht="20" customHeight="1">
      <c r="A13" s="266" t="s">
        <v>780</v>
      </c>
      <c r="B13" s="182" t="str">
        <f ca="1">IF(LEN(A13)=0,"",INDEX('Smelter Look-up'!$A:$A,MATCH($A13,'Smelter Look-up'!$E:$E,0)))</f>
        <v>Tin</v>
      </c>
      <c r="C13" s="186" t="str">
        <f ca="1">IF(LEN(A13)=0,"",INDEX('Smelter Look-up'!$C:$C,MATCH($A13,'Smelter Look-up'!$E:$E,0)))</f>
        <v>Operaciones Metalurgicas S.A.</v>
      </c>
      <c r="D13" s="233"/>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v>0</v>
      </c>
      <c r="I13" s="184" t="str">
        <f ca="1">IF(ISERROR($V13),"",OFFSET('Smelter Look-up'!$H$4,$V13-4,0))</f>
        <v>Oruro</v>
      </c>
      <c r="J13" s="184" t="str">
        <f ca="1">IF(ISERROR($V13),"",OFFSET('Smelter Look-up'!$I$4,$V13-4,0))</f>
        <v>Oruro</v>
      </c>
      <c r="K13" s="225" t="s">
        <v>15673</v>
      </c>
      <c r="L13" s="225" t="s">
        <v>15674</v>
      </c>
      <c r="M13" s="225"/>
      <c r="N13" s="225" t="s">
        <v>15668</v>
      </c>
      <c r="O13" s="225" t="s">
        <v>15668</v>
      </c>
      <c r="P13" s="185" t="s">
        <v>489</v>
      </c>
      <c r="Q13" s="226"/>
      <c r="R13" s="182" t="str">
        <f ca="1">IF(ISERROR($V13),"",OFFSET('Smelter Look-up'!$C$4,$V13-4,0)&amp;"")</f>
        <v>Operaciones Metalurgicas S.A.</v>
      </c>
      <c r="S13" s="181" t="str">
        <f t="shared" ca="1" si="3"/>
        <v>BO</v>
      </c>
      <c r="T13" s="181" t="str">
        <f ca="1">IF(B13="","",IF(ISERROR(MATCH($J13,SorP!$B$1:$B$6230,0)),"",INDIRECT("'SorP'!$A$"&amp;MATCH($J13,SorP!$B$1:$B$6230,0))))</f>
        <v>BO-O</v>
      </c>
      <c r="U13" s="201"/>
      <c r="V13" s="227">
        <f ca="1">IF(C13="",NA(),IF(OR(C13="Smelter not listed",C13="Smelter not yet identified"),MATCH($B13&amp;$D13,'Smelter Look-up'!$J:$J,0),MATCH($B13&amp;$C13,'Smelter Look-up'!$J:$J,0)))</f>
        <v>479</v>
      </c>
      <c r="X13" s="228">
        <f t="shared" ca="1" si="4"/>
        <v>0</v>
      </c>
      <c r="AB13" s="229" t="str">
        <f t="shared" ca="1" si="5"/>
        <v>TinOperaciones Metalurgicas S.A.</v>
      </c>
    </row>
    <row r="14" spans="1:34" s="228" customFormat="1" ht="20" customHeight="1">
      <c r="A14" s="266" t="s">
        <v>1829</v>
      </c>
      <c r="B14" s="182" t="str">
        <f ca="1">IF(LEN(A14)=0,"",INDEX('Smelter Look-up'!$A:$A,MATCH($A14,'Smelter Look-up'!$E:$E,0)))</f>
        <v>Tin</v>
      </c>
      <c r="C14" s="186" t="str">
        <f ca="1">IF(LEN(A14)=0,"",INDEX('Smelter Look-up'!$C:$C,MATCH($A14,'Smelter Look-up'!$E:$E,0)))</f>
        <v>Metallo Belgium N.V.</v>
      </c>
      <c r="D14" s="233"/>
      <c r="E14" s="182" t="str">
        <f ca="1">IF(ISERROR($V14),"",OFFSET('Smelter Look-up'!$D$4,$V14-4,0)&amp;"")</f>
        <v>BELGIUM</v>
      </c>
      <c r="F14" s="182" t="str">
        <f ca="1">IF(ISERROR($V14),"",OFFSET('Smelter Look-up'!$E$4,$V14-4,0))</f>
        <v>CID002773</v>
      </c>
      <c r="G14" s="182" t="str">
        <f ca="1">IF(C14=$X$4,IF(ISERROR($V14),"Enter smelter details","RMI"),IF(ISERROR($V14),"",OFFSET('Smelter Look-up'!$F$4,$V14-4,0)))</f>
        <v>RMI</v>
      </c>
      <c r="H14" s="183">
        <v>0</v>
      </c>
      <c r="I14" s="184" t="str">
        <f ca="1">IF(ISERROR($V14),"",OFFSET('Smelter Look-up'!$H$4,$V14-4,0))</f>
        <v>Beerse</v>
      </c>
      <c r="J14" s="184" t="str">
        <f ca="1">IF(ISERROR($V14),"",OFFSET('Smelter Look-up'!$I$4,$V14-4,0))</f>
        <v>Antwerpen</v>
      </c>
      <c r="K14" s="225" t="s">
        <v>15675</v>
      </c>
      <c r="L14" s="225" t="s">
        <v>15676</v>
      </c>
      <c r="M14" s="225"/>
      <c r="N14" s="225" t="s">
        <v>15668</v>
      </c>
      <c r="O14" s="225" t="s">
        <v>15668</v>
      </c>
      <c r="P14" s="185" t="s">
        <v>489</v>
      </c>
      <c r="Q14" s="226"/>
      <c r="R14" s="182" t="str">
        <f ca="1">IF(ISERROR($V14),"",OFFSET('Smelter Look-up'!$C$4,$V14-4,0)&amp;"")</f>
        <v>Metallo Belgium N.V.</v>
      </c>
      <c r="S14" s="181" t="str">
        <f t="shared" ca="1" si="3"/>
        <v>BE</v>
      </c>
      <c r="T14" s="181" t="str">
        <f ca="1">IF(B14="","",IF(ISERROR(MATCH($J14,SorP!$B$1:$B$6230,0)),"",INDIRECT("'SorP'!$A$"&amp;MATCH($J14,SorP!$B$1:$B$6230,0))))</f>
        <v>BE-VAN</v>
      </c>
      <c r="U14" s="201"/>
      <c r="V14" s="227">
        <f ca="1">IF(C14="",NA(),IF(OR(C14="Smelter not listed",C14="Smelter not yet identified"),MATCH($B14&amp;$D14,'Smelter Look-up'!$J:$J,0),MATCH($B14&amp;$C14,'Smelter Look-up'!$J:$J,0)))</f>
        <v>462</v>
      </c>
      <c r="X14" s="228">
        <f t="shared" ca="1" si="4"/>
        <v>0</v>
      </c>
      <c r="AB14" s="229" t="str">
        <f t="shared" ca="1" si="5"/>
        <v>TinMetallo Belgium N.V.</v>
      </c>
    </row>
    <row r="15" spans="1:34" s="228" customFormat="1" ht="20" customHeight="1">
      <c r="A15" s="266" t="s">
        <v>15213</v>
      </c>
      <c r="B15" s="182" t="str">
        <f ca="1">IF(LEN(A15)=0,"",INDEX('Smelter Look-up'!$A:$A,MATCH($A15,'Smelter Look-up'!$E:$E,0)))</f>
        <v>Tin</v>
      </c>
      <c r="C15" s="186" t="str">
        <f ca="1">IF(LEN(A15)=0,"",INDEX('Smelter Look-up'!$C:$C,MATCH($A15,'Smelter Look-up'!$E:$E,0)))</f>
        <v>PT Menara Cipta Mulia</v>
      </c>
      <c r="D15" s="233"/>
      <c r="E15" s="182" t="str">
        <f ca="1">IF(ISERROR($V15),"",OFFSET('Smelter Look-up'!$D$4,$V15-4,0)&amp;"")</f>
        <v>INDONESIA</v>
      </c>
      <c r="F15" s="182" t="str">
        <f ca="1">IF(ISERROR($V15),"",OFFSET('Smelter Look-up'!$E$4,$V15-4,0))</f>
        <v>CID002835</v>
      </c>
      <c r="G15" s="182" t="str">
        <f ca="1">IF(C15=$X$4,IF(ISERROR($V15),"Enter smelter details","RMI"),IF(ISERROR($V15),"",OFFSET('Smelter Look-up'!$F$4,$V15-4,0)))</f>
        <v>RMI</v>
      </c>
      <c r="H15" s="183">
        <f ca="1">IF(ISERROR($V15),"",OFFSET('Smelter Look-up'!$G$4,$V15-4,0))</f>
        <v>0</v>
      </c>
      <c r="I15" s="184" t="str">
        <f ca="1">IF(ISERROR($V15),"",OFFSET('Smelter Look-up'!$H$4,$V15-4,0))</f>
        <v>Mentawak</v>
      </c>
      <c r="J15" s="184" t="str">
        <f ca="1">IF(ISERROR($V15),"",OFFSET('Smelter Look-up'!$I$4,$V15-4,0))</f>
        <v>Kepulauan Bangka Belitung</v>
      </c>
      <c r="K15" s="225"/>
      <c r="L15" s="225"/>
      <c r="M15" s="225"/>
      <c r="N15" s="225" t="s">
        <v>15212</v>
      </c>
      <c r="O15" s="225" t="s">
        <v>15667</v>
      </c>
      <c r="P15" s="185" t="s">
        <v>489</v>
      </c>
      <c r="Q15" s="226"/>
      <c r="R15" s="182" t="str">
        <f ca="1">IF(ISERROR($V15),"",OFFSET('Smelter Look-up'!$C$4,$V15-4,0)&amp;"")</f>
        <v>PT Menara Cipta Mulia</v>
      </c>
      <c r="S15" s="181" t="str">
        <f t="shared" ca="1" si="3"/>
        <v>ID</v>
      </c>
      <c r="T15" s="181" t="str">
        <f ca="1">IF(B15="","",IF(ISERROR(MATCH($J15,SorP!$B$1:$B$6230,0)),"",INDIRECT("'SorP'!$A$"&amp;MATCH($J15,SorP!$B$1:$B$6230,0))))</f>
        <v>ID-BB</v>
      </c>
      <c r="U15" s="201"/>
      <c r="V15" s="227">
        <f ca="1">IF(C15="",NA(),IF(OR(C15="Smelter not listed",C15="Smelter not yet identified"),MATCH($B15&amp;$D15,'Smelter Look-up'!$J:$J,0),MATCH($B15&amp;$C15,'Smelter Look-up'!$J:$J,0)))</f>
        <v>495</v>
      </c>
      <c r="X15" s="228">
        <f t="shared" ca="1" si="4"/>
        <v>0</v>
      </c>
      <c r="AB15" s="229" t="str">
        <f t="shared" ca="1" si="5"/>
        <v>TinPT Menara Cipta Mulia</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CFE9C84-5BBB-41FC-809A-32B2052F21F4}"/>
    </customSheetView>
  </customSheetViews>
  <mergeCells count="3">
    <mergeCell ref="J2:O2"/>
    <mergeCell ref="B3:E3"/>
    <mergeCell ref="G3:I3"/>
  </mergeCells>
  <phoneticPr fontId="98"/>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15677</v>
      </c>
      <c r="C6" s="98" t="s">
        <v>15678</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2023-04-24T19:38:08Z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