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
    </mc:Choice>
  </mc:AlternateContent>
  <xr:revisionPtr revIDLastSave="0" documentId="13_ncr:1_{6926A3E8-4EB2-4AA6-AE67-5E215C796C8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<sst xmlns="http://schemas.openxmlformats.org/spreadsheetml/2006/main" count="22376" uniqueCount="15819">
  <si>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</si>
  <si>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</si>
  <si>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</si>
  <si>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</si>
  <si>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</si>
  <si>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</si>
  <si>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</si>
  <si>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</si>
  <si>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</si>
  <si>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</si>
  <si>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</si>
  <si>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</si>
  <si>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</si>
  <si>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</si>
  <si>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</si>
  <si>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</si>
  <si>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</si>
  <si>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</si>
  <si>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</si>
  <si>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</si>
  <si>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</si>
  <si>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</si>
  <si>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</si>
  <si>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</si>
  <si>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</si>
  <si>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</si>
  <si>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</si>
  <si>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</si>
  <si>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</si>
  <si>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</si>
  <si>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</si>
  <si>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</si>
  <si>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</si>
  <si>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</si>
  <si>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</si>
  <si>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</si>
  <si>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</si>
  <si>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</si>
  <si>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</si>
  <si>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</si>
  <si>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</si>
  <si>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</si>
  <si>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</si>
  <si>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</si>
  <si>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</si>
  <si>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</si>
  <si>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</si>
  <si>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</si>
  <si>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</si>
  <si>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</si>
  <si>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</si>
  <si>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</si>
  <si>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</si>
  <si>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</si>
  <si>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</si>
  <si>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</si>
  <si>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</si>
  <si>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</si>
  <si>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</si>
  <si>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</si>
  <si>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</si>
  <si>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</si>
  <si>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</si>
  <si>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</si>
  <si>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</si>
  <si>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</si>
  <si>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</si>
  <si>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</si>
  <si>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</si>
  <si>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</si>
  <si>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</si>
  <si>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</si>
  <si>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</si>
  <si>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</si>
  <si>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</si>
  <si>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</si>
  <si>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</si>
  <si>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</si>
  <si>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</si>
  <si>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</si>
  <si>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</si>
  <si>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</si>
  <si>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</si>
  <si>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</si>
  <si>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</si>
  <si>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</si>
  <si>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</si>
  <si>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</si>
  <si>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</si>
  <si>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</si>
  <si>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</si>
  <si>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</si>
  <si>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</si>
  <si>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</si>
  <si>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</si>
  <si>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</si>
  <si>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</si>
  <si>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</si>
  <si>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</si>
  <si>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</si>
  <si>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</si>
  <si>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</si>
  <si>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</si>
  <si>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</si>
  <si>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</si>
  <si>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</si>
  <si>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</si>
  <si>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</si>
  <si>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</si>
  <si>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</si>
  <si>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</si>
  <si>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</si>
  <si>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</si>
  <si>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</si>
  <si>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</si>
  <si>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</si>
  <si>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</si>
  <si>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</si>
  <si>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</si>
  <si>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</si>
  <si>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</si>
  <si>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</si>
  <si>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</si>
  <si>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</si>
  <si>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</si>
  <si>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</si>
  <si>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</si>
  <si>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</si>
  <si>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</si>
  <si>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</si>
  <si>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</si>
  <si>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</si>
  <si>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</si>
  <si>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</si>
  <si>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</si>
  <si>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</si>
  <si>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</si>
  <si>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</si>
  <si>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</si>
  <si>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</si>
  <si>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</si>
  <si>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</si>
  <si>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</si>
  <si>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</si>
  <si>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</si>
  <si>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</si>
  <si>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</si>
  <si>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</si>
  <si>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</si>
  <si>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</si>
  <si>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</si>
  <si>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</si>
  <si>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</si>
  <si>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</si>
  <si>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</si>
  <si>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</si>
  <si>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</si>
  <si>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</si>
  <si>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</si>
  <si>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</si>
  <si>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</si>
  <si>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</si>
  <si>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</si>
  <si>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</si>
  <si>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</si>
  <si>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</si>
  <si>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</si>
  <si>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</si>
  <si>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</si>
  <si>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</si>
  <si>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</si>
  <si>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</si>
  <si>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</si>
  <si>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</si>
  <si>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</si>
  <si>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</si>
  <si>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</si>
  <si>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</si>
  <si>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</si>
  <si>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</si>
  <si>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</si>
  <si>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</si>
  <si>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</si>
  <si>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</si>
  <si>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</si>
  <si>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</si>
  <si>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</si>
  <si>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</si>
  <si>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</si>
  <si>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</si>
  <si>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</si>
  <si>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</si>
  <si>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</si>
  <si>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</si>
  <si>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</si>
  <si>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</si>
  <si>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</si>
  <si>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</si>
  <si>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</si>
  <si>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</si>
  <si>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</si>
  <si>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</si>
  <si>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</si>
  <si>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</si>
  <si>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</si>
  <si>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</si>
  <si>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</si>
  <si>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</si>
  <si>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</si>
  <si>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</si>
  <si>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</si>
  <si>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</si>
  <si>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</si>
  <si>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</si>
  <si>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</si>
  <si>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</si>
  <si>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</si>
  <si>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</si>
  <si>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</si>
  <si>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</si>
  <si>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</si>
  <si>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</si>
  <si>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</si>
  <si>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</si>
  <si>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</si>
  <si>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</si>
  <si>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</si>
  <si>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</si>
  <si>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</si>
  <si>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</si>
  <si>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</si>
  <si>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</si>
  <si>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</si>
  <si>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</si>
  <si>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</si>
  <si>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</si>
  <si>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</si>
  <si>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</si>
  <si>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</si>
  <si>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</si>
  <si>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</si>
  <si>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</si>
  <si>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</si>
  <si>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</si>
  <si>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</si>
  <si>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</si>
  <si>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</si>
  <si>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</si>
  <si>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</si>
  <si>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</si>
  <si>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</si>
  <si>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</si>
  <si>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</si>
  <si>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</si>
  <si>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</si>
  <si>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</si>
  <si>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</si>
  <si>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</si>
  <si>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</si>
  <si>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</si>
  <si>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</si>
  <si>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</si>
  <si>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</si>
  <si>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</si>
  <si>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</si>
  <si>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</si>
  <si>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</si>
  <si>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</si>
  <si>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</si>
  <si>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</si>
  <si>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</si>
  <si>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</si>
  <si>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</si>
  <si>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</si>
  <si>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</si>
  <si>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</si>
  <si>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</si>
  <si>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</si>
  <si>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</si>
  <si>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</si>
  <si>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</si>
  <si>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</si>
  <si>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</si>
  <si>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</si>
  <si>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</si>
  <si>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</si>
  <si>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</si>
  <si>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</si>
  <si>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</si>
  <si>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</si>
  <si>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</si>
  <si>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</si>
  <si>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</si>
  <si>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</si>
  <si>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</si>
  <si>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</si>
  <si>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</si>
  <si>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</si>
  <si>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</si>
  <si>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</si>
  <si>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</si>
  <si>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</si>
  <si>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</si>
  <si>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</si>
  <si>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</si>
  <si>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</si>
  <si>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</si>
  <si>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</si>
  <si>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</si>
  <si>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</si>
  <si>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</si>
  <si>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</si>
  <si>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</si>
  <si>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</si>
  <si>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</si>
  <si>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</si>
  <si>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</si>
  <si>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</si>
  <si>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</si>
  <si>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</si>
  <si>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</si>
  <si>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</si>
  <si>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</si>
  <si>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</si>
  <si>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</si>
  <si>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</si>
  <si>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</si>
  <si>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</si>
  <si>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</si>
  <si>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</si>
  <si>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</si>
  <si>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</si>
  <si>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</si>
  <si>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</si>
  <si>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</si>
  <si>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</si>
  <si>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</si>
  <si>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</si>
  <si>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</si>
  <si>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</si>
  <si>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</si>
  <si>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</si>
  <si>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</si>
  <si>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</si>
  <si>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</si>
  <si>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</si>
  <si>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</si>
  <si>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</si>
  <si>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</si>
  <si>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</si>
  <si>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</si>
  <si>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</si>
  <si>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</si>
  <si>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</si>
  <si>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</si>
  <si>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</si>
  <si>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</si>
  <si>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</si>
  <si>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</si>
  <si>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</si>
  <si>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</si>
  <si>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</si>
  <si>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</si>
  <si>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</si>
  <si>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</si>
  <si>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</si>
  <si>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</si>
  <si>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</si>
  <si>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</si>
  <si>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</si>
  <si>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</si>
  <si>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</si>
  <si>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</si>
  <si>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</si>
  <si>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</si>
  <si>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</si>
  <si>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</si>
  <si>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</si>
  <si>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</si>
  <si>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</si>
  <si>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</si>
  <si>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</si>
  <si>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</si>
  <si>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</si>
  <si>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</si>
  <si>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</si>
  <si>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</si>
  <si>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</si>
  <si>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</si>
  <si>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</si>
  <si>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</si>
  <si>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</si>
  <si>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</si>
  <si>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</si>
  <si>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</si>
  <si>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</si>
  <si>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</si>
  <si>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</si>
  <si>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</si>
  <si>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</si>
  <si>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</si>
  <si>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</si>
  <si>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</si>
  <si>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</si>
  <si>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</si>
  <si>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</si>
  <si>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</si>
  <si>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</si>
  <si>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</si>
  <si>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</si>
  <si>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</si>
  <si>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</si>
  <si>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</si>
  <si>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</si>
  <si>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</si>
  <si>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</si>
  <si>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</si>
  <si>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</si>
  <si>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</si>
  <si>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</si>
  <si>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</si>
  <si>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</si>
  <si>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</si>
  <si>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</si>
  <si>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</si>
  <si>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</si>
  <si>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</si>
  <si>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</si>
  <si>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</si>
  <si>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</si>
  <si>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</si>
  <si>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</si>
  <si>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</si>
  <si>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</si>
  <si>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</si>
  <si>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</si>
  <si>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</si>
  <si>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</si>
  <si>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</si>
  <si>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</si>
  <si>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</si>
  <si>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</si>
  <si>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</si>
  <si>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</si>
  <si>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</si>
  <si>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</si>
  <si>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</si>
  <si>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</si>
  <si>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</si>
  <si>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</si>
  <si>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</si>
  <si>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</si>
  <si>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</si>
  <si>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</si>
  <si>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</si>
  <si>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</si>
  <si>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</si>
  <si>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</si>
  <si>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</si>
  <si>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</si>
  <si>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</si>
  <si>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</si>
  <si>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</si>
  <si>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</si>
  <si>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</si>
  <si>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</si>
  <si>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</si>
  <si>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</si>
  <si>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</si>
  <si>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</si>
  <si>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</si>
  <si>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</si>
  <si>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</si>
  <si>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</si>
  <si>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</si>
  <si>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</si>
  <si>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</si>
  <si>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</si>
  <si>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</si>
  <si>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</si>
  <si>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</si>
  <si>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</si>
  <si>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</si>
  <si>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</si>
  <si>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</si>
  <si>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</si>
  <si>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</si>
  <si>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</si>
  <si>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</si>
  <si>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</si>
  <si>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</si>
  <si>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</si>
  <si>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</si>
  <si>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</si>
  <si>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</si>
  <si>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</si>
  <si>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</si>
  <si>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</si>
  <si>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</si>
  <si>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</si>
  <si>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</si>
  <si>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</si>
  <si>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</si>
  <si>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</si>
  <si>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</si>
  <si>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</si>
  <si>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</si>
  <si>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</si>
  <si>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</si>
  <si>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</si>
  <si>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</si>
  <si>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</si>
  <si>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</si>
  <si>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</si>
  <si>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</si>
  <si>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</si>
  <si>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</si>
  <si>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</si>
  <si>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</si>
  <si>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</si>
  <si>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</si>
  <si>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</si>
  <si>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</si>
  <si>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</si>
  <si>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</si>
  <si>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</si>
  <si>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</si>
  <si>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</si>
  <si>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</si>
  <si>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</si>
  <si>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</si>
  <si>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</si>
  <si>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</si>
  <si>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</si>
  <si>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</si>
  <si>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</si>
  <si>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</si>
  <si>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</si>
  <si>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</si>
  <si>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</si>
  <si>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</si>
  <si>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</si>
  <si>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</si>
  <si>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</si>
  <si>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</si>
  <si>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</si>
  <si>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</si>
  <si>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</si>
  <si>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</si>
  <si>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</si>
  <si>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</si>
  <si>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</si>
  <si>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</si>
  <si>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</si>
  <si>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</si>
  <si>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</si>
  <si>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</si>
  <si>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</si>
  <si>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</si>
  <si>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</si>
  <si>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</si>
  <si>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</si>
  <si>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</si>
  <si>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</si>
  <si>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</si>
  <si>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</si>
  <si>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</si>
  <si>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</si>
  <si>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</si>
  <si>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</si>
  <si>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</si>
  <si>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</si>
  <si>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</si>
  <si>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</si>
  <si>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</si>
  <si>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</si>
  <si>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</si>
  <si>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</si>
  <si>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</si>
  <si>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</si>
  <si>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</si>
  <si>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</si>
  <si>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</si>
  <si>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</si>
  <si>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</si>
  <si>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</si>
  <si>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</si>
  <si>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</si>
  <si>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</si>
  <si>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</si>
  <si>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</si>
  <si>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</si>
  <si>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</si>
  <si>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</si>
  <si>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</si>
  <si>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</si>
  <si>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</si>
  <si>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</si>
  <si>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</si>
  <si>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</si>
  <si>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</si>
  <si>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</si>
  <si>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</si>
  <si>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</si>
  <si>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</si>
  <si>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</si>
  <si>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</si>
  <si>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</si>
  <si>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</si>
  <si>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</si>
  <si>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</si>
  <si>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</si>
  <si>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</si>
  <si>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</si>
  <si>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</si>
  <si>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</si>
  <si>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</si>
  <si>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</si>
  <si>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</si>
  <si>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</si>
  <si>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</si>
  <si>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</si>
  <si>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</si>
  <si>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</si>
  <si>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</si>
  <si>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</si>
  <si>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</si>
  <si>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</si>
  <si>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</si>
  <si>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</si>
  <si>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</si>
  <si>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</si>
  <si>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</si>
  <si>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</si>
  <si>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</si>
  <si>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</si>
  <si>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</si>
  <si>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</si>
  <si>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</si>
  <si>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</si>
  <si>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</si>
  <si>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</si>
  <si>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</si>
  <si>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</si>
  <si>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</si>
  <si>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</si>
  <si>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</si>
  <si>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</si>
  <si>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</si>
  <si>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</si>
  <si>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</si>
  <si>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</si>
  <si>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</si>
  <si>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</si>
  <si>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</si>
  <si>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</si>
  <si>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</si>
  <si>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</si>
  <si>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</si>
  <si>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</si>
  <si>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</si>
  <si>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</si>
  <si>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</si>
  <si>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</si>
  <si>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</si>
  <si>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</si>
  <si>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</si>
  <si>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</si>
  <si>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</si>
  <si>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</si>
  <si>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</si>
  <si>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</si>
  <si>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</si>
  <si>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</si>
  <si>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</si>
  <si>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</si>
  <si>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</si>
  <si>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</si>
  <si>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</si>
  <si>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</si>
  <si>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</si>
  <si>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</si>
  <si>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</si>
  <si>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</si>
  <si>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</si>
  <si>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</si>
  <si>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</si>
  <si>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</si>
  <si>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</si>
  <si>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</si>
  <si>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</si>
  <si>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</si>
  <si>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</si>
  <si>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</si>
  <si>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</si>
  <si>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</si>
  <si>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</si>
  <si>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</si>
  <si>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</si>
  <si>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</si>
  <si>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</si>
  <si>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</si>
  <si>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</si>
  <si>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</si>
  <si>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</si>
  <si>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</si>
  <si>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</si>
  <si>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</si>
  <si>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</si>
  <si>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</si>
  <si>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</si>
  <si>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</si>
  <si>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</si>
  <si>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</si>
  <si>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</si>
  <si>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</si>
  <si>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</si>
  <si>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</si>
  <si>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</si>
  <si>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</si>
  <si>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</si>
  <si>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</si>
  <si>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</si>
  <si>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</si>
  <si>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</si>
  <si>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</si>
  <si>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</si>
  <si>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</si>
  <si>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</si>
  <si>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</si>
  <si>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</si>
  <si>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</si>
  <si>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</si>
  <si>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</si>
  <si>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</si>
  <si>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</si>
  <si>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</si>
  <si>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</si>
  <si>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</si>
  <si>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</si>
  <si>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</si>
  <si>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</si>
  <si>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</si>
  <si>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</si>
  <si>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</si>
  <si>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</si>
  <si>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</si>
  <si>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</si>
  <si>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</si>
  <si>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</si>
  <si>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</si>
  <si>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</si>
  <si>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</si>
  <si>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</si>
  <si>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</si>
  <si>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</si>
  <si>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</si>
  <si>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</si>
  <si>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</si>
  <si>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</si>
  <si>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</si>
  <si>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</si>
  <si>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</si>
  <si>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</si>
  <si>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</si>
  <si>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</si>
  <si>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</si>
  <si>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</si>
  <si>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</si>
  <si>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</si>
  <si>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</si>
  <si>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</si>
  <si>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</si>
  <si>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</si>
  <si>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</si>
  <si>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</si>
  <si>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</si>
  <si>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</si>
  <si>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</si>
  <si>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</si>
  <si>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</si>
  <si>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</si>
  <si>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</si>
  <si>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</si>
  <si>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</si>
  <si>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</si>
  <si>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</si>
  <si>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</si>
  <si>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</si>
  <si>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</si>
  <si>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</si>
  <si>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</si>
  <si>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</si>
  <si>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</si>
  <si>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</si>
  <si>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</si>
  <si>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</si>
  <si>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</si>
  <si>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</si>
  <si>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</si>
  <si>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</si>
  <si>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</si>
  <si>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</si>
  <si>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</si>
  <si>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</si>
  <si>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</si>
  <si>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</si>
  <si>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</si>
  <si>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</si>
  <si>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</si>
  <si>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</si>
  <si>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</si>
  <si>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</si>
  <si>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</si>
  <si>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</si>
  <si>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</si>
  <si>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</si>
  <si>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</si>
  <si>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</si>
  <si>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</si>
  <si>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</si>
  <si>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</si>
  <si>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</si>
  <si>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</si>
  <si>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</si>
  <si>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</si>
  <si>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</si>
  <si>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</si>
  <si>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</si>
  <si>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</si>
  <si>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</si>
  <si>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</si>
  <si>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</si>
  <si>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</si>
  <si>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</si>
  <si>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</si>
  <si>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</si>
  <si>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</si>
  <si>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</si>
  <si>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</si>
  <si>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</si>
  <si>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</si>
  <si>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</si>
  <si>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</si>
  <si>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</si>
  <si>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</si>
  <si>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</si>
  <si>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</si>
  <si>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</si>
  <si>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</si>
  <si>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</si>
  <si>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</si>
  <si>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</si>
  <si>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</si>
  <si>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</si>
  <si>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</si>
  <si>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</si>
  <si>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</si>
  <si>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</si>
  <si>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</si>
  <si>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</si>
  <si>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</si>
  <si>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</si>
  <si>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</si>
  <si>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</si>
  <si>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</si>
  <si>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</si>
  <si>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</si>
  <si>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</si>
  <si>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</si>
  <si>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</si>
  <si>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</si>
  <si>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</si>
  <si>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</si>
  <si>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</si>
  <si>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</si>
  <si>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</si>
  <si>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</si>
  <si>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</si>
  <si>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</si>
  <si>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</si>
  <si>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</si>
  <si>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</si>
  <si>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</si>
  <si>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</si>
  <si>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</si>
  <si>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</si>
  <si>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</si>
  <si>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</si>
  <si>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</si>
  <si>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</si>
  <si>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</si>
  <si>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</si>
  <si>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</si>
  <si>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</si>
  <si>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</si>
  <si>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</si>
  <si>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</si>
  <si>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</si>
  <si>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</si>
  <si>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</si>
  <si>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</si>
  <si>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</si>
  <si>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</si>
  <si>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</si>
  <si>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</si>
  <si>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</si>
  <si>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</si>
  <si>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</si>
  <si>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</si>
  <si>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</si>
  <si>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</si>
  <si>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</si>
  <si>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</si>
  <si>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</si>
  <si>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</si>
  <si>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</si>
  <si>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</si>
  <si>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</si>
  <si>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</si>
  <si>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</si>
  <si>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</si>
  <si>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</si>
  <si>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</si>
  <si>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</si>
  <si>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</si>
  <si>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</si>
  <si>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</si>
  <si>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</si>
  <si>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</si>
  <si>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</si>
  <si>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</si>
  <si>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</si>
  <si>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</si>
  <si>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</si>
  <si>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</si>
  <si>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</si>
  <si>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</si>
  <si>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</si>
  <si>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</si>
  <si>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</si>
  <si>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</si>
  <si>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</si>
  <si>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</si>
  <si>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</si>
  <si>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</si>
  <si>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</si>
  <si>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</si>
  <si>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</si>
  <si>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</si>
  <si>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</si>
  <si>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</si>
  <si>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</si>
  <si>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</si>
  <si>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</si>
  <si>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</si>
  <si>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</si>
  <si>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</si>
  <si>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</si>
  <si>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</si>
  <si>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</si>
  <si>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</si>
  <si>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</si>
  <si>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</si>
  <si>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</si>
  <si>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</si>
  <si>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</si>
  <si>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</si>
  <si>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</si>
  <si>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</si>
  <si>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</si>
  <si>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</si>
  <si>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</si>
  <si>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</si>
  <si>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</si>
  <si>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</si>
  <si>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</si>
  <si>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</si>
  <si>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</si>
  <si>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</si>
  <si>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</si>
  <si>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</si>
  <si>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</si>
  <si>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</si>
  <si>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</si>
  <si>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</si>
  <si>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</si>
  <si>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</si>
  <si>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</si>
  <si>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</si>
  <si>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</si>
  <si>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</si>
  <si>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</si>
  <si>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</si>
  <si>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</si>
  <si>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</si>
  <si>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</si>
  <si>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</si>
  <si>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</si>
  <si>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</si>
  <si>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</si>
  <si>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</si>
  <si>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</si>
  <si>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</si>
  <si>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</si>
  <si>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</si>
  <si>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</si>
  <si>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</si>
  <si>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</si>
  <si>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</si>
  <si>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</si>
  <si>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</si>
  <si>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</si>
  <si>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</si>
  <si>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</si>
  <si>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</si>
  <si>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</si>
  <si>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</si>
  <si>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</si>
  <si>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</si>
  <si>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</si>
  <si>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</si>
  <si>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</si>
  <si>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</si>
  <si>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</si>
  <si>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</si>
  <si>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</si>
  <si>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</si>
  <si>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</si>
  <si>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</si>
  <si>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</si>
  <si>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</si>
  <si>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</si>
  <si>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</si>
  <si>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</si>
  <si>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</si>
  <si>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</si>
  <si>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</si>
  <si>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</si>
  <si>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</si>
  <si>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</si>
  <si>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</si>
  <si>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</si>
  <si>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</si>
  <si>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</si>
  <si>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</si>
  <si>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</si>
  <si>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</si>
  <si>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</si>
  <si>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</si>
  <si>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</si>
  <si>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</si>
  <si>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</si>
  <si>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</si>
  <si>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</si>
  <si>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</si>
  <si>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</si>
  <si>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</si>
  <si>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</si>
  <si>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</si>
  <si>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</si>
  <si>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</si>
  <si>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</si>
  <si>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</si>
  <si>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</si>
  <si>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</si>
  <si>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</si>
  <si>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</si>
  <si>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</si>
  <si>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</si>
  <si>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</si>
  <si>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</si>
  <si>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</si>
  <si>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</si>
  <si>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</si>
  <si>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</si>
  <si>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</si>
  <si>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</si>
  <si>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</si>
  <si>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</si>
  <si>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</si>
  <si>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</si>
  <si>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</si>
  <si>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</si>
  <si>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</si>
  <si>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</si>
  <si>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</si>
  <si>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</si>
  <si>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</si>
  <si>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</si>
  <si>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</si>
  <si>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</si>
  <si>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</si>
  <si>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</si>
  <si>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</si>
  <si>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</si>
  <si>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</si>
  <si>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</si>
  <si>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</si>
  <si>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</si>
  <si>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</si>
  <si>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</si>
  <si>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</si>
  <si>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</si>
  <si>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</si>
  <si>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</si>
  <si>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</si>
  <si>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</si>
  <si>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</si>
  <si>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</si>
  <si>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</si>
  <si>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</si>
  <si>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</si>
  <si>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</si>
  <si>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</si>
  <si>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</si>
  <si>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</si>
  <si>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</si>
  <si>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</si>
  <si>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</si>
  <si>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</si>
  <si>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</si>
  <si>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</si>
  <si>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</si>
  <si>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</si>
  <si>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</si>
  <si>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</si>
  <si>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</si>
  <si>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</si>
  <si>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</si>
  <si>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</si>
  <si>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</si>
  <si>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</si>
  <si>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</si>
  <si>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</si>
  <si>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</si>
  <si>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</si>
  <si>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</si>
  <si>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</si>
  <si>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</si>
  <si>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</si>
  <si>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</si>
  <si>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</si>
  <si>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</si>
  <si>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</si>
  <si>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</si>
  <si>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</si>
  <si>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</si>
  <si>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</si>
  <si>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</si>
  <si>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</si>
  <si>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</si>
  <si>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</si>
  <si>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</si>
  <si>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</si>
  <si>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</si>
  <si>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</si>
  <si>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</si>
  <si>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</si>
  <si>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</si>
  <si>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</si>
  <si>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</si>
  <si>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</si>
  <si>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</si>
  <si>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</si>
  <si>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</si>
  <si>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</si>
  <si>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</si>
  <si>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</si>
  <si>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</si>
  <si>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</si>
  <si>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</si>
  <si>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</si>
  <si>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</si>
  <si>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</si>
  <si>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</si>
  <si>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</si>
  <si>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</si>
  <si>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</si>
  <si>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</si>
  <si>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</si>
  <si>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</si>
  <si>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</si>
  <si>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</si>
  <si>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</si>
  <si>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</si>
  <si>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</si>
  <si>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</si>
  <si>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</si>
  <si>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</si>
  <si>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</si>
  <si>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</si>
  <si>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</si>
  <si>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</si>
  <si>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</si>
  <si>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</si>
  <si>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</si>
  <si>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</si>
  <si>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</si>
  <si>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</si>
  <si>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</si>
  <si>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</si>
  <si>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</si>
  <si>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</si>
  <si>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</si>
  <si>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</si>
  <si>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</si>
  <si>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</si>
  <si>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</si>
  <si>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</si>
  <si>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</si>
  <si>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</si>
  <si>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</si>
  <si>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</si>
  <si>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</si>
  <si>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</si>
  <si>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</si>
  <si>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</si>
  <si>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</si>
  <si>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</si>
  <si>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</si>
  <si>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</si>
  <si>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</si>
  <si>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</si>
  <si>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</si>
  <si>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</si>
  <si>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</si>
  <si>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</si>
  <si>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</si>
  <si>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</si>
  <si>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</si>
  <si>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</si>
  <si>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</si>
  <si>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</si>
  <si>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</si>
  <si>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</si>
  <si>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</si>
  <si>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</si>
  <si>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</si>
  <si>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</si>
  <si>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</si>
  <si>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</si>
  <si>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</si>
  <si>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</si>
  <si>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</si>
  <si>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</si>
  <si>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</si>
  <si>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</si>
  <si>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</si>
  <si>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</si>
  <si>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</si>
  <si>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</si>
  <si>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</si>
  <si>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</si>
  <si>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</si>
  <si>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</si>
  <si>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</si>
  <si>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</si>
  <si>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</si>
  <si>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</si>
  <si>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</si>
  <si>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</si>
  <si>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</si>
  <si>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</si>
  <si>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</si>
  <si>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</si>
  <si>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</si>
  <si>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</si>
  <si>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</si>
  <si>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</si>
  <si>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</si>
  <si>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</si>
  <si>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</si>
  <si>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</si>
  <si>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</si>
  <si>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</si>
  <si>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</si>
  <si>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</si>
  <si>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</si>
  <si>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</si>
  <si>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</si>
  <si>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</si>
  <si>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</si>
  <si>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</si>
  <si>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</si>
  <si>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</si>
  <si>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</si>
  <si>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</si>
  <si>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</si>
  <si>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</si>
  <si>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</si>
  <si>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</si>
  <si>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</si>
  <si>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</si>
  <si>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</si>
  <si>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</si>
  <si>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</si>
  <si>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</si>
  <si>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</si>
  <si>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</si>
  <si>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</si>
  <si>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</si>
  <si>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</si>
  <si>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</si>
  <si>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</si>
  <si>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</si>
  <si>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</si>
  <si>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</si>
  <si>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</si>
  <si>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</si>
  <si>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</si>
  <si>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</si>
  <si>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</si>
  <si>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</si>
  <si>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</si>
  <si>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</si>
  <si>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</si>
  <si>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</si>
  <si>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</si>
  <si>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</si>
  <si>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</si>
  <si>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</si>
  <si>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</si>
  <si>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</si>
  <si>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</si>
  <si>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</si>
  <si>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</si>
  <si>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</si>
  <si>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</si>
  <si>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</si>
  <si>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</si>
  <si>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</si>
  <si>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</si>
  <si>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</si>
  <si>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</si>
  <si>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</si>
  <si>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</si>
  <si>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</si>
  <si>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</si>
  <si>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</si>
  <si>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</si>
  <si>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</si>
  <si>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</si>
  <si>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</si>
  <si>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</si>
  <si>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</si>
  <si>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</si>
  <si>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</si>
  <si>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</si>
  <si>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</si>
  <si>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</si>
  <si>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</si>
  <si>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</si>
  <si>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</si>
  <si>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</si>
  <si>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</si>
  <si>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</si>
  <si>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</si>
  <si>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</si>
  <si>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</si>
  <si>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</si>
  <si>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</si>
  <si>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</si>
  <si>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</si>
  <si>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</si>
  <si>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</si>
  <si>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</si>
  <si>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</si>
  <si>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</si>
  <si>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</si>
  <si>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</si>
  <si>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</si>
  <si>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</si>
  <si>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</si>
  <si>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</si>
  <si>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</si>
  <si>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</si>
  <si>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</si>
  <si>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</si>
  <si>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</si>
  <si>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</si>
  <si>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</si>
  <si>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</si>
  <si>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</si>
  <si>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</si>
  <si>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</si>
  <si>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</si>
  <si>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</si>
  <si>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</si>
  <si>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</si>
  <si>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</si>
  <si>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</si>
  <si>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</si>
  <si>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</si>
  <si>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</si>
  <si>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</si>
  <si>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</si>
  <si>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</si>
  <si>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</si>
  <si>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</si>
  <si>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</si>
  <si>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</si>
  <si>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</si>
  <si>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</si>
  <si>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</si>
  <si>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</si>
  <si>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</si>
  <si>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</si>
  <si>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</si>
  <si>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</si>
  <si>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</si>
  <si>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</si>
  <si>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</si>
  <si>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</si>
  <si>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</si>
  <si>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</si>
  <si>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</si>
  <si>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</si>
  <si>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</si>
  <si>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</si>
  <si>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</si>
  <si>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</si>
  <si>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</si>
  <si>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</si>
  <si>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</si>
  <si>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</si>
  <si>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</si>
  <si>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</si>
  <si>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</si>
  <si>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</si>
  <si>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</si>
  <si>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</si>
  <si>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</si>
  <si>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</si>
  <si>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</si>
  <si>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</si>
  <si>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</si>
  <si>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</si>
  <si>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</si>
  <si>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</si>
  <si>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</si>
  <si>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</si>
  <si>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</si>
  <si>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</si>
  <si>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</si>
  <si>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</si>
  <si>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</si>
  <si>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</si>
  <si>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</si>
  <si>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</si>
  <si>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</si>
  <si>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</si>
  <si>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</si>
  <si>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</si>
  <si>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</si>
  <si>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</si>
  <si>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</si>
  <si>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</si>
  <si>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</si>
  <si>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</si>
  <si>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</si>
  <si>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</si>
  <si>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</si>
  <si>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</si>
  <si>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</si>
  <si>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</si>
  <si>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</si>
  <si>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</si>
  <si>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</si>
  <si>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</si>
  <si>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</si>
  <si>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</si>
  <si>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</si>
  <si>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</si>
  <si>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</si>
  <si>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</si>
  <si>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</si>
  <si>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</si>
  <si>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</si>
  <si>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</si>
  <si>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</si>
  <si>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</si>
  <si>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</si>
  <si>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</si>
  <si>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</si>
  <si>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</si>
  <si>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</si>
  <si>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</si>
  <si>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</si>
  <si>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</si>
  <si>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</si>
  <si>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</si>
  <si>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</si>
  <si>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</si>
  <si>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</si>
  <si>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</si>
  <si>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</si>
  <si>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</si>
  <si>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</si>
  <si>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</si>
  <si>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</si>
  <si>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</si>
  <si>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</si>
  <si>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</si>
  <si>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</si>
  <si>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</si>
  <si>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</si>
  <si>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</si>
  <si>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</si>
  <si>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</si>
  <si>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</si>
  <si>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</si>
  <si>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</si>
  <si>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</si>
  <si>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</si>
  <si>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</si>
  <si>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</si>
  <si>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</si>
  <si>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</si>
  <si>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</si>
  <si>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</si>
  <si>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</si>
  <si>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</si>
  <si>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</si>
  <si>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</si>
  <si>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</si>
  <si>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</si>
  <si>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</si>
  <si>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</si>
  <si>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</si>
  <si>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</si>
  <si>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</si>
  <si>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</si>
  <si>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</si>
  <si>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</si>
  <si>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</si>
  <si>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</si>
  <si>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</si>
  <si>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</si>
  <si>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</si>
  <si>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</si>
  <si>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</si>
  <si>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</si>
  <si>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</si>
  <si>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</si>
  <si>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</si>
  <si>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</si>
  <si>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</si>
  <si>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</si>
  <si>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</si>
  <si>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</si>
  <si>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</si>
  <si>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</si>
  <si>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</si>
  <si>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</si>
  <si>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</si>
  <si>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</si>
  <si>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</si>
  <si>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</si>
  <si>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</si>
  <si>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</si>
  <si>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</si>
  <si>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</si>
  <si>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</si>
  <si>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</si>
  <si>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</si>
  <si>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</si>
  <si>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</si>
  <si>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</si>
  <si>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</si>
  <si>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</si>
  <si>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</si>
  <si>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</si>
  <si>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</si>
  <si>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</si>
  <si>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</si>
  <si>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</si>
  <si>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</si>
  <si>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</si>
  <si>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</si>
  <si>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</si>
  <si>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</si>
  <si>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</si>
  <si>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</si>
  <si>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</si>
  <si>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</si>
  <si>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</si>
  <si>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</si>
  <si>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</si>
  <si>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</si>
  <si>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</si>
  <si>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</si>
  <si>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</si>
  <si>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</si>
  <si>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</si>
  <si>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</si>
  <si>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</si>
  <si>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</si>
  <si>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</si>
  <si>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</si>
  <si>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</si>
  <si>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</si>
  <si>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</si>
  <si>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</si>
  <si>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</si>
  <si>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</si>
  <si>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</si>
  <si>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</si>
  <si>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</si>
  <si>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</si>
  <si>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</si>
  <si>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</si>
  <si>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</si>
  <si>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</si>
  <si>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</si>
  <si>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</si>
  <si>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</si>
  <si>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</si>
  <si>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</si>
  <si>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</si>
  <si>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</si>
  <si>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</si>
  <si>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</si>
  <si>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</si>
  <si>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</si>
  <si>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</si>
  <si>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</si>
  <si>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</si>
  <si>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</si>
  <si>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</si>
  <si>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</si>
  <si>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</si>
  <si>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</si>
  <si>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</si>
  <si>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</si>
  <si>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</si>
  <si>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</si>
  <si>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</si>
  <si>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</si>
  <si>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</si>
  <si>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</si>
  <si>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</si>
  <si>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</si>
  <si>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</si>
  <si>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</si>
  <si>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</si>
  <si>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</si>
  <si>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</si>
  <si>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</si>
  <si>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</si>
  <si>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</si>
  <si>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</si>
  <si>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</si>
  <si>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</si>
  <si>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</si>
  <si>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</si>
  <si>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</si>
  <si>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</si>
  <si>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</si>
  <si>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</si>
  <si>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</si>
  <si>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</si>
  <si>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</si>
  <si>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</si>
  <si>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</si>
  <si>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</si>
  <si>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</si>
  <si>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</si>
  <si>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</si>
  <si>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</si>
  <si>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</si>
  <si>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</si>
  <si>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</si>
  <si>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</si>
  <si>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</si>
  <si>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</si>
  <si>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</si>
  <si>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</si>
  <si>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</si>
  <si>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</si>
  <si>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</si>
  <si>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</si>
  <si>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</si>
  <si>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</si>
  <si>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</si>
  <si>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</si>
  <si>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</si>
  <si>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</si>
  <si>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</si>
  <si>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</si>
  <si>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</si>
  <si>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</si>
  <si>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</si>
  <si>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</si>
  <si>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</si>
  <si>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</si>
  <si>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</si>
  <si>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</si>
  <si>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</si>
  <si>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</si>
  <si>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</si>
  <si>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</si>
  <si>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</si>
  <si>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</si>
  <si>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</si>
  <si>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</si>
  <si>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</si>
  <si>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</si>
  <si>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</si>
  <si>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</si>
  <si>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</si>
  <si>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</si>
  <si>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</si>
  <si>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</si>
  <si>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</si>
  <si>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</si>
  <si>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</si>
  <si>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</si>
  <si>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</si>
  <si>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</si>
  <si>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</si>
  <si>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</si>
  <si>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</si>
  <si>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</si>
  <si>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</si>
  <si>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</si>
  <si>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</si>
  <si>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</si>
  <si>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</si>
  <si>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</si>
  <si>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</si>
  <si>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</si>
  <si>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</si>
  <si>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</si>
  <si>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</si>
  <si>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</si>
  <si>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</si>
  <si>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</si>
  <si>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</si>
  <si>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</si>
  <si>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</si>
  <si>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</si>
  <si>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</si>
  <si>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</si>
  <si>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</si>
  <si>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</si>
  <si>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</si>
  <si>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</si>
  <si>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</si>
  <si>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</si>
  <si>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</si>
  <si>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</si>
  <si>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</si>
  <si>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</si>
  <si>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</si>
  <si>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</si>
  <si>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</si>
  <si>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</si>
  <si>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</si>
  <si>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</si>
  <si>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</si>
  <si>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</si>
  <si>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</si>
  <si>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</si>
  <si>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</si>
  <si>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</si>
  <si>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</si>
  <si>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</si>
  <si>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</si>
  <si>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</si>
  <si>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</si>
  <si>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</si>
  <si>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</si>
  <si>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</si>
  <si>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</si>
  <si>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</si>
  <si>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</si>
  <si>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</si>
  <si>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</si>
  <si>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</si>
  <si>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</si>
  <si>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</si>
  <si>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</si>
  <si>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</si>
  <si>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</si>
  <si>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</si>
  <si>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</si>
  <si>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</si>
  <si>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</si>
  <si>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</si>
  <si>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</si>
  <si>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</si>
  <si>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</si>
  <si>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</si>
  <si>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</si>
  <si>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</si>
  <si>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</si>
  <si>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</si>
  <si>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</si>
  <si>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</si>
  <si>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</si>
  <si>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</si>
  <si>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</si>
  <si>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</si>
  <si>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</si>
  <si>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</si>
  <si>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</si>
  <si>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</si>
  <si>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</si>
  <si>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</si>
  <si>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</si>
  <si>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</si>
  <si>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</si>
  <si>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</si>
  <si>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</si>
  <si>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</si>
  <si>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</si>
  <si>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</si>
  <si>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</si>
  <si>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</si>
  <si>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</si>
  <si>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</si>
  <si>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</si>
  <si>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</si>
  <si>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</si>
  <si>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</si>
  <si>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</si>
  <si>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</si>
  <si>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</si>
  <si>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</si>
  <si>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</si>
  <si>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</si>
  <si>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</si>
  <si>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</si>
  <si>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</si>
  <si>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</si>
  <si>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</si>
  <si>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</si>
  <si>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</si>
  <si>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</si>
  <si>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</si>
  <si>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</si>
  <si>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</si>
  <si>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</si>
  <si>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</si>
  <si>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</si>
  <si>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</si>
  <si>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</si>
  <si>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</si>
  <si>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</si>
  <si>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</si>
  <si>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</si>
  <si>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</si>
  <si>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</si>
  <si>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</si>
  <si>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</si>
  <si>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</si>
  <si>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</si>
  <si>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</si>
  <si>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</si>
  <si>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</si>
  <si>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</si>
  <si>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</si>
  <si>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</si>
  <si>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</si>
  <si>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</si>
  <si>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</si>
  <si>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</si>
  <si>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</si>
  <si>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</si>
  <si>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</si>
  <si>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</si>
  <si>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</si>
  <si>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</si>
  <si>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</si>
  <si>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</si>
  <si>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</si>
  <si>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</si>
  <si>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</si>
  <si>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</si>
  <si>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</si>
  <si>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</si>
  <si>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</si>
  <si>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</si>
  <si>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</si>
  <si>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</si>
  <si>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</si>
  <si>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</si>
  <si>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</si>
  <si>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</si>
  <si>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</si>
  <si>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</si>
  <si>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</si>
  <si>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</si>
  <si>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</si>
  <si>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</si>
  <si>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</si>
  <si>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</si>
  <si>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</si>
  <si>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</si>
  <si>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</si>
  <si>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</si>
  <si>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</si>
  <si>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</si>
  <si>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</si>
  <si>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</si>
  <si>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</si>
  <si>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</si>
  <si>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</si>
  <si>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</si>
  <si>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</si>
  <si>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</si>
  <si>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</si>
  <si>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</si>
  <si>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</si>
  <si>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</si>
  <si>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</si>
  <si>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</si>
  <si>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</si>
  <si>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</si>
  <si>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</si>
  <si>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</si>
  <si>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</si>
  <si>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</si>
  <si>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</si>
  <si>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</si>
  <si>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</si>
  <si>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</si>
  <si>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</si>
  <si>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</si>
  <si>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</si>
  <si>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</si>
  <si>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</si>
  <si>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</si>
  <si>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</si>
  <si>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</si>
  <si>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</si>
  <si>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</si>
  <si>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</si>
  <si>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</si>
  <si>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</si>
  <si>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</si>
  <si>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</si>
  <si>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</si>
  <si>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</si>
  <si>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</si>
  <si>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</si>
  <si>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</si>
  <si>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</si>
  <si>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</si>
  <si>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</si>
  <si>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</si>
  <si>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</si>
  <si>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</si>
  <si>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</si>
  <si>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</si>
  <si>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</si>
  <si>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</si>
  <si>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</si>
  <si>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</si>
  <si>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</si>
  <si>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</si>
  <si>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</si>
  <si>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</si>
  <si>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</si>
  <si>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</si>
  <si>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</si>
  <si>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</si>
  <si>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</si>
  <si>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</si>
  <si>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</si>
  <si>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</si>
  <si>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</si>
  <si>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</si>
  <si>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</si>
  <si>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</si>
  <si>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</si>
  <si>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</si>
  <si>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</si>
  <si>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</si>
  <si>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</si>
  <si>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</si>
  <si>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</si>
  <si>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</si>
  <si>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</si>
  <si>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</si>
  <si>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</si>
  <si>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</si>
  <si>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</si>
  <si>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</si>
  <si>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</si>
  <si>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</si>
  <si>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</si>
  <si>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</si>
  <si>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</si>
  <si>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</si>
  <si>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</si>
  <si>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</si>
  <si>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</si>
  <si>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</si>
  <si>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</si>
  <si>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</si>
  <si>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</si>
  <si>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</si>
  <si>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</si>
  <si>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</si>
  <si>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</si>
  <si>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</si>
  <si>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</si>
  <si>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</si>
  <si>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</si>
  <si>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</si>
  <si>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</si>
  <si>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</si>
  <si>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</si>
  <si>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</si>
  <si>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</si>
  <si>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</si>
  <si>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</si>
  <si>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</si>
  <si>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</si>
  <si>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</si>
  <si>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</si>
  <si>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</si>
  <si>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</si>
  <si>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</si>
  <si>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</si>
  <si>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</si>
  <si>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</si>
  <si>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</si>
  <si>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</si>
  <si>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</si>
  <si>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</si>
  <si>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</si>
  <si>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</si>
  <si>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</si>
  <si>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</si>
  <si>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</si>
  <si>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</si>
  <si>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</si>
  <si>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</si>
  <si>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</si>
  <si>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</si>
  <si>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</si>
  <si>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</si>
  <si>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</si>
  <si>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</si>
  <si>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</si>
  <si>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</si>
  <si>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</si>
  <si>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</si>
  <si>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</si>
  <si>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</si>
  <si>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</si>
  <si>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</si>
  <si>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</si>
  <si>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</si>
  <si>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</si>
  <si>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</si>
  <si>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</si>
  <si>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</si>
  <si>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</si>
  <si>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</si>
  <si>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</si>
  <si>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</si>
  <si>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</si>
  <si>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</si>
  <si>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</si>
  <si>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</si>
  <si>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</si>
  <si>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</si>
  <si>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</si>
  <si>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</si>
  <si>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</si>
  <si>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</si>
  <si>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</si>
  <si>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</si>
  <si>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</si>
  <si>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</si>
  <si>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</si>
  <si>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</si>
  <si>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</si>
  <si>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</si>
  <si>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</si>
  <si>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</si>
  <si>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</si>
  <si>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</si>
  <si>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</si>
  <si>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</si>
  <si>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</si>
  <si>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</si>
  <si>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</si>
  <si>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</si>
  <si>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</si>
  <si>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</si>
  <si>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</si>
  <si>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</si>
  <si>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</si>
  <si>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</si>
  <si>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</si>
  <si>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</si>
  <si>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</si>
  <si>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</si>
  <si>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</si>
  <si>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</si>
  <si>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</si>
  <si>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</si>
  <si>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</si>
  <si>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</si>
  <si>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</si>
  <si>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</si>
  <si>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</si>
  <si>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</si>
  <si>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</si>
  <si>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</si>
  <si>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</si>
  <si>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</si>
  <si>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</si>
  <si>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</si>
  <si>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</si>
  <si>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</si>
  <si>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</si>
  <si>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</si>
  <si>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</si>
  <si>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</si>
  <si>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</si>
  <si>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</si>
  <si>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</si>
  <si>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</si>
  <si>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</si>
  <si>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</si>
  <si>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</si>
  <si>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</si>
  <si>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</si>
  <si>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</si>
  <si>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</si>
  <si>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</si>
  <si>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</si>
  <si>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</si>
  <si>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</si>
  <si>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</si>
  <si>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</si>
  <si>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</si>
  <si>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</si>
  <si>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</si>
  <si>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</si>
  <si>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</si>
  <si>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</si>
  <si>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</si>
  <si>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</si>
  <si>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</si>
  <si>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</si>
  <si>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</si>
  <si>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</si>
  <si>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</si>
  <si>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</si>
  <si>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</si>
  <si>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</si>
  <si>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</si>
  <si>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</si>
  <si>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</si>
  <si>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</si>
  <si>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</si>
  <si>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</si>
  <si>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</si>
  <si>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</si>
  <si>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</si>
  <si>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</si>
  <si>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</si>
  <si>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</si>
  <si>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</si>
  <si>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</si>
  <si>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</si>
  <si>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</si>
  <si>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</si>
  <si>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</si>
  <si>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</si>
  <si>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</si>
  <si>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</si>
  <si>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</si>
  <si>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</si>
  <si>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</si>
  <si>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</si>
  <si>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</si>
  <si>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</si>
  <si>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</si>
  <si>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</si>
  <si>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</si>
  <si>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</si>
  <si>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</si>
  <si>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</si>
  <si>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</si>
  <si>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</si>
  <si>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</si>
  <si>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</si>
  <si>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</si>
  <si>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</si>
  <si>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</si>
  <si>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</si>
  <si>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</si>
  <si>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</si>
  <si>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</si>
  <si>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</si>
  <si>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</si>
  <si>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</si>
  <si>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</si>
  <si>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</si>
  <si>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</si>
  <si>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</si>
  <si>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</si>
  <si>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</si>
  <si>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</si>
  <si>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</si>
  <si>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</si>
  <si>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</si>
  <si>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</si>
  <si>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</si>
  <si>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</si>
  <si>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</si>
  <si>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</si>
  <si>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</si>
  <si>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</si>
  <si>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</si>
  <si>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</si>
  <si>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</si>
  <si>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</si>
  <si>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</si>
  <si>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</si>
  <si>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</si>
  <si>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</si>
  <si>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</si>
  <si>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</si>
  <si>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</si>
  <si>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</si>
  <si>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</si>
  <si>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</si>
  <si>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</si>
  <si>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</si>
  <si>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</si>
  <si>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</si>
  <si>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</si>
  <si>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</si>
  <si>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</si>
  <si>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</si>
  <si>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</si>
  <si>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</si>
  <si>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</si>
  <si>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</si>
  <si>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</si>
  <si>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</si>
  <si>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</si>
  <si>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</si>
  <si>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</si>
  <si>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</si>
  <si>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</si>
  <si>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</si>
  <si>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</si>
  <si>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</si>
  <si>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</si>
  <si>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</si>
  <si>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</si>
  <si>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</si>
  <si>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</si>
  <si>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</si>
  <si>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</si>
  <si>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</si>
  <si>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</si>
  <si>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</si>
  <si>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</si>
  <si>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</si>
  <si>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</si>
  <si>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</si>
  <si>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</si>
  <si>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</si>
  <si>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</si>
  <si>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</si>
  <si>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</si>
  <si>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</si>
  <si>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</si>
  <si>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</si>
  <si>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</si>
  <si>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</si>
  <si>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</si>
  <si>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</si>
  <si>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</si>
  <si>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</si>
  <si>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</si>
  <si>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</si>
  <si>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</si>
  <si>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</si>
  <si>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</si>
  <si>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</si>
  <si>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</si>
  <si>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</si>
  <si>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</si>
  <si>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</si>
  <si>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</si>
  <si>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</si>
  <si>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</si>
  <si>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</si>
  <si>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</si>
  <si>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</si>
  <si>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</si>
  <si>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</si>
  <si>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</si>
  <si>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</si>
  <si>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</si>
  <si>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</si>
  <si>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</si>
  <si>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</si>
  <si>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</si>
  <si>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</si>
  <si>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</si>
  <si>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</si>
  <si>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</si>
  <si>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</si>
  <si>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</si>
  <si>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</si>
  <si>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</si>
  <si>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</si>
  <si>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</si>
  <si>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</si>
  <si>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</si>
  <si>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</si>
  <si>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</si>
  <si>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</si>
  <si>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</si>
  <si>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</si>
  <si>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</si>
  <si>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</si>
  <si>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</si>
  <si>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</si>
  <si>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</si>
  <si>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</si>
  <si>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</si>
  <si>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</si>
  <si>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</si>
  <si>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</si>
  <si>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</si>
  <si>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</si>
  <si>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</si>
  <si>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</si>
  <si>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</si>
  <si>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</si>
  <si>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</si>
  <si>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</si>
  <si>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</si>
  <si>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</si>
  <si>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</si>
  <si>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</si>
  <si>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</si>
  <si>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</si>
  <si>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</si>
  <si>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</si>
  <si>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</si>
  <si>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</si>
  <si>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</si>
  <si>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</si>
  <si>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</si>
  <si>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</si>
  <si>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</si>
  <si>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</si>
  <si>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</si>
  <si>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</si>
  <si>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</si>
  <si>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</si>
  <si>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</si>
  <si>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</si>
  <si>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</si>
  <si>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</si>
  <si>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</si>
  <si>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</si>
  <si>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</si>
  <si>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</si>
  <si>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</si>
  <si>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</si>
  <si>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</si>
  <si>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</si>
  <si>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</si>
  <si>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</si>
  <si>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</si>
  <si>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</si>
  <si>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</si>
  <si>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</si>
  <si>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</si>
  <si>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</si>
  <si>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</si>
  <si>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</si>
  <si>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</si>
  <si>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</si>
  <si>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</si>
  <si>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</si>
  <si>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</si>
  <si>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</si>
  <si>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</si>
  <si>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</si>
  <si>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</si>
  <si>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</si>
  <si>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</si>
  <si>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</si>
  <si>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</si>
  <si>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</si>
  <si>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</si>
  <si>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</si>
  <si>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</si>
  <si>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</si>
  <si>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</si>
  <si>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</si>
  <si>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</si>
  <si>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</si>
  <si>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</si>
  <si>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</si>
  <si>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</si>
  <si>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</si>
  <si>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</si>
  <si>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</si>
  <si>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</si>
  <si>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</si>
  <si>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</si>
  <si>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</si>
  <si>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</si>
  <si>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</si>
  <si>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</si>
  <si>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</si>
  <si>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</si>
  <si>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</si>
  <si>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</si>
  <si>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</si>
  <si>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</si>
  <si>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</si>
  <si>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</si>
  <si>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</si>
  <si>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</si>
  <si>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</si>
  <si>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</si>
  <si>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</si>
  <si>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</si>
  <si>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</si>
  <si>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</si>
  <si>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</si>
  <si>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</si>
  <si>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</si>
  <si>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</si>
  <si>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</si>
  <si>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</si>
  <si>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</si>
  <si>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</si>
  <si>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</si>
  <si>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</si>
  <si>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</si>
  <si>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</si>
  <si>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</si>
  <si>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</si>
  <si>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</si>
  <si>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</si>
  <si>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</si>
  <si>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</si>
  <si>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</si>
  <si>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</si>
  <si>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</si>
  <si>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</si>
  <si>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</si>
  <si>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</si>
  <si>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</si>
  <si>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</si>
  <si>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</si>
  <si>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</si>
  <si>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</si>
  <si>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</si>
  <si>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</si>
  <si>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</si>
  <si>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</si>
  <si>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</si>
  <si>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</si>
  <si>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</si>
  <si>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</si>
  <si>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</si>
  <si>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</si>
  <si>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</si>
  <si>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</si>
  <si>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</si>
  <si>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</si>
  <si>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</si>
  <si>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</si>
  <si>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</si>
  <si>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</si>
  <si>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</si>
  <si>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</si>
  <si>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</si>
  <si>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</si>
  <si>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</si>
  <si>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</si>
  <si>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</si>
  <si>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</si>
  <si>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</si>
  <si>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</si>
  <si>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</si>
  <si>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</si>
  <si>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</si>
  <si>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</si>
  <si>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</si>
  <si>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</si>
  <si>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</si>
  <si>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</si>
  <si>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</si>
  <si>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</si>
  <si>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</si>
  <si>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</si>
  <si>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</si>
  <si>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</si>
  <si>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</si>
  <si>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</si>
  <si>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</si>
  <si>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</si>
  <si>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</si>
  <si>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</si>
  <si>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</si>
  <si>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</si>
  <si>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</si>
  <si>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</si>
  <si>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</si>
  <si>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</si>
  <si>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</si>
  <si>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</si>
  <si>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</si>
  <si>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</si>
  <si>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</si>
  <si>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</si>
  <si>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</si>
  <si>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</si>
  <si>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</si>
  <si>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</si>
  <si>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</si>
  <si>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</si>
  <si>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</si>
  <si>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</si>
  <si>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</si>
  <si>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</si>
  <si>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</si>
  <si>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</si>
  <si>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</si>
  <si>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</si>
  <si>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</si>
  <si>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</si>
  <si>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</si>
  <si>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</si>
  <si>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</si>
  <si>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</si>
  <si>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</si>
  <si>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</si>
  <si>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</si>
  <si>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</si>
  <si>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</si>
  <si>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</si>
  <si>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</si>
  <si>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</si>
  <si>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</si>
  <si>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</si>
  <si>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</si>
  <si>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</si>
  <si>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</si>
  <si>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</si>
  <si>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</si>
  <si>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</si>
  <si>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</si>
  <si>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</si>
  <si>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</si>
  <si>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</si>
  <si>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</si>
  <si>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</si>
  <si>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</si>
  <si>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</si>
  <si>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</si>
  <si>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</si>
  <si>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</si>
  <si>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</si>
  <si>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</si>
  <si>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</si>
  <si>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</si>
  <si>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</si>
  <si>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</si>
  <si>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</si>
  <si>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</si>
  <si>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</si>
  <si>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</si>
  <si>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</si>
  <si>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</si>
  <si>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</si>
  <si>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</si>
  <si>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</si>
  <si>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</si>
  <si>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</si>
  <si>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</si>
  <si>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</si>
  <si>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</si>
  <si>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</si>
  <si>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</si>
  <si>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</si>
  <si>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</si>
  <si>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</si>
  <si>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</si>
  <si>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</si>
  <si>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</si>
  <si>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</si>
  <si>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</si>
  <si>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</si>
  <si>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</si>
  <si>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</si>
  <si>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</si>
  <si>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</si>
  <si>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</si>
  <si>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</si>
  <si>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</si>
  <si>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</si>
  <si>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</si>
  <si>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</si>
  <si>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</si>
  <si>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</si>
  <si>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</si>
  <si>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</si>
  <si>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</si>
  <si>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</si>
  <si>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</si>
  <si>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</si>
  <si>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</si>
  <si>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</si>
  <si>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</si>
  <si>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</si>
  <si>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</si>
  <si>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</si>
  <si>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</si>
  <si>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</si>
  <si>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</si>
  <si>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</si>
  <si>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</si>
  <si>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</si>
  <si>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</si>
  <si>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</si>
  <si>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</si>
  <si>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</si>
  <si>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</si>
  <si>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</si>
  <si>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</si>
  <si>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</si>
  <si>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</si>
  <si>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</si>
  <si>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</si>
  <si>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</si>
  <si>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</si>
  <si>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</si>
  <si>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</si>
  <si>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</si>
  <si>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</si>
  <si>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</si>
  <si>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</si>
  <si>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</si>
  <si>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</si>
  <si>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</si>
  <si>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</si>
  <si>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</si>
  <si>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</si>
  <si>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</si>
  <si>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</si>
  <si>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</si>
  <si>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</si>
  <si>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</si>
  <si>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</si>
  <si>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</si>
  <si>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</si>
  <si>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</si>
  <si>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</si>
  <si>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</si>
  <si>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</si>
  <si>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</si>
  <si>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</si>
  <si>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</si>
  <si>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</si>
  <si>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</si>
  <si>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</si>
  <si>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</si>
  <si>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</si>
  <si>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</si>
  <si>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</si>
  <si>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</si>
  <si>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</si>
  <si>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</si>
  <si>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</si>
  <si>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</si>
  <si>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</si>
  <si>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</si>
  <si>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</si>
  <si>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</si>
  <si>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</si>
  <si>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</si>
  <si>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</si>
  <si>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</si>
  <si>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</si>
  <si>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</si>
  <si>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</si>
  <si>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</si>
  <si>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</si>
  <si>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</si>
  <si>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</si>
  <si>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</si>
  <si>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</si>
  <si>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</si>
  <si>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</si>
  <si>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</si>
  <si>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</si>
  <si>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</si>
  <si>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</si>
  <si>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</si>
  <si>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</si>
  <si>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</si>
  <si>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</si>
  <si>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</si>
  <si>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</si>
  <si>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</si>
  <si>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</si>
  <si>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</si>
  <si>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</si>
  <si>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</si>
  <si>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</si>
  <si>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</si>
  <si>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</si>
  <si>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</si>
  <si>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</si>
  <si>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</si>
  <si>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</si>
  <si>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</si>
  <si>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</si>
  <si>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</si>
  <si>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</si>
  <si>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</si>
  <si>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</si>
  <si>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</si>
  <si>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</si>
  <si>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</si>
  <si>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</si>
  <si>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</si>
  <si>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</si>
  <si>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</si>
  <si>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</si>
  <si>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</si>
  <si>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</si>
  <si>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</si>
  <si>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</si>
  <si>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</si>
  <si>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</si>
  <si>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</si>
  <si>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</si>
  <si>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</si>
  <si>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</si>
  <si>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</si>
  <si>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</si>
  <si>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</si>
  <si>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</si>
  <si>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</si>
  <si>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</si>
  <si>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</si>
  <si>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</si>
  <si>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</si>
  <si>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</si>
  <si>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</si>
  <si>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</si>
  <si>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</si>
  <si>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</si>
  <si>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</si>
  <si>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</si>
  <si>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</si>
  <si>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</si>
  <si>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</si>
  <si>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</si>
  <si>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</si>
  <si>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</si>
  <si>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</si>
  <si>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</si>
  <si>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</si>
  <si>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</si>
  <si>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</si>
  <si>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</si>
  <si>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</si>
  <si>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</si>
  <si>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</si>
  <si>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</si>
  <si>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</si>
  <si>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</si>
  <si>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</si>
  <si>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</si>
  <si>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</si>
  <si>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</si>
  <si>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</si>
  <si>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</si>
  <si>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</si>
  <si>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</si>
  <si>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</si>
  <si>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</si>
  <si>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</si>
  <si>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</si>
  <si>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</si>
  <si>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</si>
  <si>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</si>
  <si>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</si>
  <si>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</si>
  <si>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</si>
  <si>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</si>
  <si>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</si>
  <si>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</si>
  <si>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</si>
  <si>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</si>
  <si>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</si>
  <si>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</si>
  <si>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</si>
  <si>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</si>
  <si>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</si>
  <si>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</si>
  <si>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</si>
  <si>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</si>
  <si>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</si>
  <si>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</si>
  <si>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</si>
  <si>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</si>
  <si>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</si>
  <si>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</si>
  <si>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</si>
  <si>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</si>
  <si>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</si>
  <si>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</si>
  <si>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</si>
  <si>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</si>
  <si>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</si>
  <si>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</si>
  <si>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</si>
  <si>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</si>
  <si>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</si>
  <si>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</si>
  <si>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</si>
  <si>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</si>
  <si>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</si>
  <si>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</si>
  <si>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</si>
  <si>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</si>
  <si>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</si>
  <si>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</si>
  <si>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</si>
  <si>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</si>
  <si>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</si>
  <si>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</si>
  <si>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</si>
  <si>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</si>
  <si>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</si>
  <si>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</si>
  <si>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</si>
  <si>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</si>
  <si>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</si>
  <si>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</si>
  <si>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</si>
  <si>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</si>
  <si>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</si>
  <si>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</si>
  <si>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</si>
  <si>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</si>
  <si>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</si>
  <si>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</si>
  <si>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</si>
  <si>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</si>
  <si>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</si>
  <si>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</si>
  <si>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</si>
  <si>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</si>
  <si>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</si>
  <si>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</si>
  <si>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</si>
  <si>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</si>
  <si>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</si>
  <si>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</si>
  <si>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</si>
  <si>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</si>
  <si>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</si>
  <si>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</si>
  <si>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</si>
  <si>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</si>
  <si>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</si>
  <si>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</si>
  <si>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</si>
  <si>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</si>
  <si>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</si>
  <si>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</si>
  <si>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</si>
  <si>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</si>
  <si>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</si>
  <si>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</si>
  <si>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</si>
  <si>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</si>
  <si>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</si>
  <si>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</si>
  <si>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</si>
  <si>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</si>
  <si>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</si>
  <si>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</si>
  <si>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</si>
  <si>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</si>
  <si>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</si>
  <si>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</si>
  <si>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</si>
  <si>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</si>
  <si>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</si>
  <si>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</si>
  <si>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</si>
  <si>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</si>
  <si>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</si>
  <si>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</si>
  <si>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</si>
  <si>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</si>
  <si>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</si>
  <si>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</si>
  <si>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</si>
  <si>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</si>
  <si>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</si>
  <si>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</si>
  <si>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</si>
  <si>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</si>
  <si>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</si>
  <si>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</si>
  <si>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</si>
  <si>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</si>
  <si>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</si>
  <si>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</si>
  <si>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</si>
  <si>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</si>
  <si>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</si>
  <si>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</si>
  <si>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</si>
  <si>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</si>
  <si>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</si>
  <si>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</si>
  <si>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</si>
  <si>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</si>
  <si>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</si>
  <si>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</si>
  <si>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</si>
  <si>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</si>
  <si>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</si>
  <si>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</si>
  <si>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</si>
  <si>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</si>
  <si>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</si>
  <si>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</si>
  <si>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</si>
  <si>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</si>
  <si>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</si>
  <si>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</si>
  <si>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</si>
  <si>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</si>
  <si>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</si>
  <si>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</si>
  <si>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</si>
  <si>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</si>
  <si>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</si>
  <si>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</si>
  <si>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</si>
  <si>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</si>
  <si>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</si>
  <si>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</si>
  <si>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</si>
  <si>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</si>
  <si>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</si>
  <si>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</si>
  <si>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</si>
  <si>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</si>
  <si>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</si>
  <si>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</si>
  <si>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</si>
  <si>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</si>
  <si>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</si>
  <si>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</si>
  <si>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</si>
  <si>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</si>
  <si>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</si>
  <si>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</si>
  <si>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</si>
  <si>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</si>
  <si>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</si>
  <si>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</si>
  <si>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</si>
  <si>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</si>
  <si>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</si>
  <si>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</si>
  <si>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</si>
  <si>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</si>
  <si>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</si>
  <si>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</si>
  <si>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</si>
  <si>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</si>
  <si>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</si>
  <si>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</si>
  <si>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</si>
  <si>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</si>
  <si>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</si>
  <si>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</si>
  <si>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</si>
  <si>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</si>
  <si>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</si>
  <si>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</si>
  <si>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</si>
  <si>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</si>
  <si>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</si>
  <si>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</si>
  <si>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</si>
  <si>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</si>
  <si>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</si>
  <si>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</si>
  <si>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</si>
  <si>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</si>
  <si>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</si>
  <si>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</si>
  <si>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</si>
  <si>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</si>
  <si>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</si>
  <si>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</si>
  <si>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</si>
  <si>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</si>
  <si>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</si>
  <si>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</si>
  <si>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</si>
  <si>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</si>
  <si>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</si>
  <si>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</si>
  <si>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</si>
  <si>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</si>
  <si>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</si>
  <si>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</si>
  <si>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</si>
  <si>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</si>
  <si>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</si>
  <si>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</si>
  <si>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</si>
  <si>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</si>
  <si>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</si>
  <si>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</si>
  <si>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</si>
  <si>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</si>
  <si>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</si>
  <si>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</si>
  <si>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</si>
  <si>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</si>
  <si>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</si>
  <si>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</si>
  <si>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</si>
  <si>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</si>
  <si>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</si>
  <si>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</si>
  <si>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</si>
  <si>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</si>
  <si>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</si>
  <si>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</si>
  <si>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</si>
  <si>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</si>
  <si>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</si>
  <si>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</si>
  <si>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</si>
  <si>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</si>
  <si>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</si>
  <si>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</si>
  <si>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</si>
  <si>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</si>
  <si>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</si>
  <si>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</si>
  <si>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</si>
  <si>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</si>
  <si>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</si>
  <si>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</si>
  <si>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</si>
  <si>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</si>
  <si>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</si>
  <si>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</si>
  <si>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</si>
  <si>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</si>
  <si>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</si>
  <si>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</si>
  <si>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</si>
  <si>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</si>
  <si>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</si>
  <si>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</si>
  <si>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</si>
  <si>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</si>
  <si>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</si>
  <si>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</si>
  <si>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</si>
  <si>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</si>
  <si>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</si>
  <si>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</si>
  <si>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</si>
  <si>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</si>
  <si>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</si>
  <si>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</si>
  <si>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</si>
  <si>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</si>
  <si>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</si>
  <si>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</si>
  <si>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</si>
  <si>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</si>
  <si>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</si>
  <si>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</si>
  <si>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</si>
  <si>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</si>
  <si>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</si>
  <si>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</si>
  <si>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</si>
  <si>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</si>
  <si>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</si>
  <si>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</si>
  <si>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</si>
  <si>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</si>
  <si>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</si>
  <si>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</si>
  <si>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</si>
  <si>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</si>
  <si>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</si>
  <si>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</si>
  <si>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</si>
  <si>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</si>
  <si>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</si>
  <si>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</si>
  <si>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</si>
  <si>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</si>
  <si>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</si>
  <si>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</si>
  <si>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</si>
  <si>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</si>
  <si>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</si>
  <si>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</si>
  <si>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</si>
  <si>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</si>
  <si>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</si>
  <si>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</si>
  <si>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</si>
  <si>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</si>
  <si>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</si>
  <si>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</si>
  <si>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</si>
  <si>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</si>
  <si>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</si>
  <si>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</si>
  <si>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</si>
  <si>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</si>
  <si>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</si>
  <si>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</si>
  <si>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</si>
  <si>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</si>
  <si>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</si>
  <si>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</si>
  <si>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</si>
  <si>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</si>
  <si>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</si>
  <si>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</si>
  <si>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</si>
  <si>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</si>
  <si>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</si>
  <si>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</si>
  <si>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</si>
  <si>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</si>
  <si>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</si>
  <si>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</si>
  <si>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</si>
  <si>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</si>
  <si>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</si>
  <si>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</si>
  <si>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</si>
  <si>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</si>
  <si>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</si>
  <si>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</si>
  <si>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</si>
  <si>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</si>
  <si>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</si>
  <si>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</si>
  <si>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</si>
  <si>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</si>
  <si>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</si>
  <si>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</si>
  <si>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</si>
  <si>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</si>
  <si>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</si>
  <si>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</si>
  <si>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</si>
  <si>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</si>
  <si>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</si>
  <si>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</si>
  <si>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</si>
  <si>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</si>
  <si>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</si>
  <si>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</si>
  <si>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</si>
  <si>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</si>
  <si>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</si>
  <si>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</si>
  <si>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</si>
  <si>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</si>
  <si>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</si>
  <si>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</si>
  <si>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</si>
  <si>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</si>
  <si>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</si>
  <si>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</si>
  <si>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</si>
  <si>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</si>
  <si>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</si>
  <si>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</si>
  <si>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</si>
  <si>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</si>
  <si>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</si>
  <si>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</si>
  <si>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</si>
  <si>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</si>
  <si>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</si>
  <si>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</si>
  <si>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</si>
  <si>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</si>
  <si>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</si>
  <si>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</si>
  <si>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</si>
  <si>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</si>
  <si>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</si>
  <si>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</si>
  <si>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</si>
  <si>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</si>
  <si>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</si>
  <si>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</si>
  <si>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</si>
  <si>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</si>
  <si>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</si>
  <si>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</si>
  <si>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</si>
  <si>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</si>
  <si>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</si>
  <si>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</si>
  <si>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</si>
  <si>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</si>
  <si>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</si>
  <si>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</si>
  <si>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</si>
  <si>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</si>
  <si>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</si>
  <si>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</si>
  <si>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</si>
  <si>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</si>
  <si>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</si>
  <si>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</si>
  <si>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</si>
  <si>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</si>
  <si>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</si>
  <si>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</si>
  <si>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</si>
  <si>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</si>
  <si>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</si>
  <si>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</si>
  <si>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</si>
  <si>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</si>
  <si>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</si>
  <si>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</si>
  <si>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</si>
  <si>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</si>
  <si>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</si>
  <si>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</si>
  <si>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</si>
  <si>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</si>
  <si>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</si>
  <si>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</si>
  <si>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</si>
  <si>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</si>
  <si>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</si>
  <si>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</si>
  <si>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</si>
  <si>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</si>
  <si>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</si>
  <si>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</si>
  <si>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</si>
  <si>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</si>
  <si>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</si>
  <si>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</si>
  <si>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</si>
  <si>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</si>
  <si>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</si>
  <si>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</si>
  <si>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</si>
  <si>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</si>
  <si>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</si>
  <si>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</si>
  <si>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</si>
  <si>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</si>
  <si>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</si>
  <si>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</si>
  <si>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</si>
  <si>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</si>
  <si>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</si>
  <si>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</si>
  <si>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</si>
  <si>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</si>
  <si>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</si>
  <si>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</si>
  <si>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</si>
  <si>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</si>
  <si>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</si>
  <si>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</si>
  <si>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</si>
  <si>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</si>
  <si>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</si>
  <si>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</si>
  <si>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</si>
  <si>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</si>
  <si>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</si>
  <si>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</si>
  <si>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</si>
  <si>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</si>
  <si>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</si>
  <si>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</si>
  <si>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</si>
  <si>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</si>
  <si>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</si>
  <si>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</si>
  <si>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</si>
  <si>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</si>
  <si>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</si>
  <si>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</si>
  <si>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</si>
  <si>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</si>
  <si>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</si>
  <si>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</si>
  <si>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</si>
  <si>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</si>
  <si>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</si>
  <si>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</si>
  <si>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</si>
  <si>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</si>
  <si>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</si>
  <si>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</si>
  <si>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</si>
  <si>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</si>
  <si>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</si>
  <si>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</si>
  <si>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</si>
  <si>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</si>
  <si>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</si>
  <si>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</si>
  <si>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</si>
  <si>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</si>
  <si>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</si>
  <si>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</si>
  <si>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</si>
  <si>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</si>
  <si>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</si>
  <si>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</si>
  <si>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</si>
  <si>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</si>
  <si>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</si>
  <si>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</si>
  <si>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</si>
  <si>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</si>
  <si>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</si>
  <si>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</si>
  <si>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</si>
  <si>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</si>
  <si>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</si>
  <si>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</si>
  <si>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</si>
  <si>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</si>
  <si>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</si>
  <si>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</si>
  <si>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</si>
  <si>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</si>
  <si>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</si>
  <si>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</si>
  <si>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</si>
  <si>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</si>
  <si>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</si>
  <si>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</si>
  <si>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</si>
  <si>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</si>
  <si>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</si>
  <si>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</si>
  <si>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</si>
  <si>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</si>
  <si>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</si>
  <si>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</si>
  <si>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</si>
  <si>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</si>
  <si>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</si>
  <si>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</si>
  <si>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</si>
  <si>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</si>
  <si>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</si>
  <si>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</si>
  <si>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</si>
  <si>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</si>
  <si>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</si>
  <si>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</si>
  <si>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</si>
  <si>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</si>
  <si>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</si>
  <si>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</si>
  <si>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</si>
  <si>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</si>
  <si>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</si>
  <si>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</si>
  <si>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</si>
  <si>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</si>
  <si>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</si>
  <si>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</si>
  <si>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</si>
  <si>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</si>
  <si>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</si>
  <si>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</si>
  <si>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</si>
  <si>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</si>
  <si>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</si>
  <si>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</si>
  <si>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</si>
  <si>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</si>
  <si>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</si>
  <si>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</si>
  <si>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</si>
  <si>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</si>
  <si>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</si>
  <si>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</si>
  <si>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</si>
  <si>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</si>
  <si>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</si>
  <si>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</si>
  <si>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</si>
  <si>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</si>
  <si>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</si>
  <si>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</si>
  <si>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</si>
  <si>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</si>
  <si>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</si>
  <si>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</si>
  <si>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</si>
  <si>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</si>
  <si>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</si>
  <si>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</si>
  <si>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</si>
  <si>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</si>
  <si>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</si>
  <si>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</si>
  <si>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</si>
  <si>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</si>
  <si>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</si>
  <si>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</si>
  <si>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</si>
  <si>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</si>
  <si>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</si>
  <si>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</si>
  <si>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</si>
  <si>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</si>
  <si>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</si>
  <si>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</si>
  <si>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</si>
  <si>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</si>
  <si>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</si>
  <si>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</si>
  <si>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</si>
  <si>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</si>
  <si>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</si>
  <si>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</si>
  <si>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</si>
  <si>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</si>
  <si>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</si>
  <si>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</si>
  <si>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</si>
  <si>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</si>
  <si>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</si>
  <si>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</si>
  <si>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</si>
  <si>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</si>
  <si>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</si>
  <si>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</si>
  <si>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</si>
  <si>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</si>
  <si>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</si>
  <si>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</si>
  <si>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</si>
  <si>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</si>
  <si>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</si>
  <si>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</si>
  <si>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</si>
  <si>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</si>
  <si>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</si>
  <si>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</si>
  <si>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</si>
  <si>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</si>
  <si>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</si>
  <si>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</si>
  <si>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</si>
  <si>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</si>
  <si>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</si>
  <si>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</si>
  <si>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</si>
  <si>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</si>
  <si>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</si>
  <si>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</si>
  <si>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</si>
  <si>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</si>
  <si>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</si>
  <si>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</si>
  <si>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</si>
  <si>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</si>
  <si>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</si>
  <si>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</si>
  <si>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</si>
  <si>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</si>
  <si>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</si>
  <si>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</si>
  <si>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</si>
  <si>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</si>
  <si>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</si>
  <si>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</si>
  <si>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</si>
  <si>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</si>
  <si>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</si>
  <si>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</si>
  <si>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</si>
  <si>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</si>
  <si>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</si>
  <si>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</si>
  <si>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</si>
  <si>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</si>
  <si>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</si>
  <si>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</si>
  <si>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</si>
  <si>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</si>
  <si>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</si>
  <si>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</si>
  <si>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</si>
  <si>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</si>
  <si>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</si>
  <si>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</si>
  <si>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</si>
  <si>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</si>
  <si>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</si>
  <si>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</si>
  <si>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</si>
  <si>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</si>
  <si>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</si>
  <si>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</si>
  <si>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</si>
  <si>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</si>
  <si>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</si>
  <si>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</si>
  <si>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</si>
  <si>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</si>
  <si>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</si>
  <si>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</si>
  <si>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</si>
  <si>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</si>
  <si>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</si>
  <si>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</si>
  <si>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</si>
  <si>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</si>
  <si>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</si>
  <si>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</si>
  <si>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</si>
  <si>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</si>
  <si>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</si>
  <si>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</si>
  <si>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</si>
  <si>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</si>
  <si>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</si>
  <si>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</si>
  <si>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</si>
  <si>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</si>
  <si>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</si>
  <si>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</si>
  <si>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</si>
  <si>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</si>
  <si>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</si>
  <si>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</si>
  <si>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</si>
  <si>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</si>
  <si>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</si>
  <si>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</si>
  <si>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</si>
  <si>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</si>
  <si>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</si>
  <si>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</si>
  <si>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</si>
  <si>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</si>
  <si>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</si>
  <si>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</si>
  <si>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</si>
  <si>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</si>
  <si>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</si>
  <si>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</si>
  <si>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</si>
  <si>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</si>
  <si>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</si>
  <si>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</si>
  <si>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</si>
  <si>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</si>
  <si>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</si>
  <si>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</si>
  <si>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</si>
  <si>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</si>
  <si>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</si>
  <si>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</si>
  <si>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</si>
  <si>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</si>
  <si>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</si>
  <si>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</si>
  <si>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</si>
  <si>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</si>
  <si>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</si>
  <si>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</si>
  <si>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</si>
  <si>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</si>
  <si>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</si>
  <si>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</si>
  <si>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</si>
  <si>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</si>
  <si>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</si>
  <si>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</si>
  <si>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</si>
  <si>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</si>
  <si>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</si>
  <si>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</si>
  <si>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</si>
  <si>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</si>
  <si>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</si>
  <si>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</si>
  <si>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</si>
  <si>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</si>
  <si>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</si>
  <si>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</si>
  <si>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</si>
  <si>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</si>
  <si>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</si>
  <si>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</si>
  <si>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</si>
  <si>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</si>
  <si>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</si>
  <si>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</si>
  <si>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</si>
  <si>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</si>
  <si>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</si>
  <si>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</si>
  <si>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</si>
  <si>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</si>
  <si>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</si>
  <si>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</si>
  <si>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</si>
  <si>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</si>
  <si>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</si>
  <si>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</si>
  <si>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</si>
  <si>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</si>
  <si>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</si>
  <si>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</si>
  <si>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</si>
  <si>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</si>
  <si>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</si>
  <si>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</si>
  <si>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</si>
  <si>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</si>
  <si>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</si>
  <si>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</si>
  <si>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</si>
  <si>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</si>
  <si>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</si>
  <si>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</si>
  <si>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</si>
  <si>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</si>
  <si>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</si>
  <si>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</si>
  <si>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</si>
  <si>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</si>
  <si>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</si>
  <si>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</si>
  <si>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</si>
  <si>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</si>
  <si>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</si>
  <si>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</si>
  <si>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</si>
  <si>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</si>
  <si>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</si>
  <si>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</si>
  <si>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</si>
  <si>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</si>
  <si>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</si>
  <si>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</si>
  <si>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</si>
  <si>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</si>
  <si>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</si>
  <si>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</si>
  <si>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</si>
  <si>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</si>
  <si>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</si>
  <si>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</si>
  <si>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</si>
  <si>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</si>
  <si>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</si>
  <si>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</si>
  <si>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</si>
  <si>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</si>
  <si>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</si>
  <si>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</si>
  <si>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</si>
  <si>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</si>
  <si>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</si>
  <si>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</si>
  <si>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</si>
  <si>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</si>
  <si>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</si>
  <si>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</si>
  <si>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</si>
  <si>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</si>
  <si>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</si>
  <si>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</si>
  <si>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</si>
  <si>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</si>
  <si>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</si>
  <si>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</si>
  <si>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</si>
  <si>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</si>
  <si>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</si>
  <si>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</si>
  <si>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</si>
  <si>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</si>
  <si>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</si>
  <si>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</si>
  <si>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</si>
  <si>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</si>
  <si>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</si>
  <si>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</si>
  <si>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</si>
  <si>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</si>
  <si>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</si>
  <si>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</si>
  <si>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</si>
  <si>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</si>
  <si>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</si>
  <si>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</si>
  <si>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</si>
  <si>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</si>
  <si>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</si>
  <si>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</si>
  <si>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</si>
  <si>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</si>
  <si>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</si>
  <si>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</si>
  <si>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</si>
  <si>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</si>
  <si>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</si>
  <si>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</si>
  <si>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</si>
  <si>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</si>
  <si>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</si>
  <si>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</si>
  <si>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</si>
  <si>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</si>
  <si>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</si>
  <si>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</si>
  <si>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</si>
  <si>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</si>
  <si>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</si>
  <si>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</si>
  <si>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</si>
  <si>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</si>
  <si>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</si>
  <si>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</si>
  <si>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</si>
  <si>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</si>
  <si>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</si>
  <si>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</si>
  <si>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</si>
  <si>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</si>
  <si>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</si>
  <si>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</si>
  <si>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</si>
  <si>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</si>
  <si>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</si>
  <si>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</si>
  <si>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</si>
  <si>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</si>
  <si>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</si>
  <si>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</si>
  <si>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</si>
  <si>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</si>
  <si>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</si>
  <si>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</si>
  <si>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</si>
  <si>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</si>
  <si>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</si>
  <si>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</si>
  <si>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</si>
  <si>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</si>
  <si>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</si>
  <si>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</si>
  <si>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</si>
  <si>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</si>
  <si>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</si>
  <si>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</si>
  <si>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</si>
  <si>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</si>
  <si>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</si>
  <si>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</si>
  <si>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</si>
  <si>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</si>
  <si>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</si>
  <si>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</si>
  <si>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</si>
  <si>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</si>
  <si>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</si>
  <si>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</si>
  <si>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</si>
  <si>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</si>
  <si>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</si>
  <si>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</si>
  <si>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</si>
  <si>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</si>
  <si>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</si>
  <si>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</si>
  <si>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</si>
  <si>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</si>
  <si>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</si>
  <si>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</si>
  <si>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</si>
  <si>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</si>
  <si>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</si>
  <si>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</si>
  <si>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</si>
  <si>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</si>
  <si>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</si>
  <si>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</si>
  <si>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</si>
  <si>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</si>
  <si>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</si>
  <si>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</si>
  <si>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</si>
  <si>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</si>
  <si>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</si>
  <si>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</si>
  <si>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</si>
  <si>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</si>
  <si>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</si>
  <si>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</si>
  <si>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</si>
  <si>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</si>
  <si>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</si>
  <si>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</si>
  <si>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</si>
  <si>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</si>
  <si>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</si>
  <si>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</si>
  <si>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</si>
  <si>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</si>
  <si>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</si>
  <si>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</si>
  <si>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</si>
  <si>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</si>
  <si>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</si>
  <si>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</si>
  <si>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</si>
  <si>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</si>
  <si>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</si>
  <si>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</si>
  <si>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</si>
  <si>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</si>
  <si>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</si>
  <si>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</si>
  <si>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</si>
  <si>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</si>
  <si>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</si>
  <si>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</si>
  <si>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</si>
  <si>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</si>
  <si>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</si>
  <si>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</si>
  <si>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</si>
  <si>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</si>
  <si>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</si>
  <si>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</si>
  <si>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</si>
  <si>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</si>
  <si>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</si>
  <si>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</si>
  <si>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</si>
  <si>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</si>
  <si>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</si>
  <si>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</si>
  <si>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</si>
  <si>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</si>
  <si>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</si>
  <si>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</si>
  <si>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</si>
  <si>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</si>
  <si>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</si>
  <si>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</si>
  <si>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</si>
  <si>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</si>
  <si>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</si>
  <si>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</si>
  <si>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</si>
  <si>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</si>
  <si>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</si>
  <si>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</si>
  <si>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</si>
  <si>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</si>
  <si>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</si>
  <si>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</si>
  <si>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</si>
  <si>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</si>
  <si>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</si>
  <si>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</si>
  <si>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</si>
  <si>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</si>
  <si>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</si>
  <si>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</si>
  <si>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</si>
  <si>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</si>
  <si>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</si>
  <si>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</si>
  <si>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</si>
  <si>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</si>
  <si>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</si>
  <si>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</si>
  <si>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</si>
  <si>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</si>
  <si>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</si>
  <si>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</si>
  <si>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</si>
  <si>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</si>
  <si>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</si>
  <si>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</si>
  <si>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</si>
  <si>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</si>
  <si>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</si>
  <si>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</si>
  <si>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</si>
  <si>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</si>
  <si>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</si>
  <si>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</si>
  <si>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</si>
  <si>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</si>
  <si>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</si>
  <si>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</si>
  <si>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</si>
  <si>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</si>
  <si>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</si>
  <si>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</si>
  <si>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</si>
  <si>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</si>
  <si>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</si>
  <si>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</si>
  <si>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</si>
  <si>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</si>
  <si>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</si>
  <si>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</si>
  <si>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</si>
  <si>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</si>
  <si>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</si>
  <si>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</si>
  <si>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</si>
  <si>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</si>
  <si>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</si>
  <si>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</si>
  <si>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</si>
  <si>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</si>
  <si>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</si>
  <si>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</si>
  <si>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</si>
  <si>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</si>
  <si>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</si>
  <si>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</si>
  <si>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</si>
  <si>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</si>
  <si>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</si>
  <si>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</si>
  <si>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</si>
  <si>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</si>
  <si>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</si>
  <si>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</si>
  <si>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</si>
  <si>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</si>
  <si>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</si>
  <si>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</si>
  <si>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</si>
  <si>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</si>
  <si>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</si>
  <si>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</si>
  <si>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</si>
  <si>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</si>
  <si>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</si>
  <si>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</si>
  <si>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</si>
  <si>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</si>
  <si>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</si>
  <si>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</si>
  <si>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</si>
  <si>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</si>
  <si>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</si>
  <si>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</si>
  <si>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</si>
  <si>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</si>
  <si>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</si>
  <si>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</si>
  <si>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</si>
  <si>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</si>
  <si>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</si>
  <si>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</si>
  <si>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</si>
  <si>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</si>
  <si>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</si>
  <si>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</si>
  <si>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</si>
  <si>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</si>
  <si>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</si>
  <si>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</si>
  <si>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</si>
  <si>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</si>
  <si>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</si>
  <si>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</si>
  <si>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</si>
  <si>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</si>
  <si>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</si>
  <si>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</si>
  <si>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</si>
  <si>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</si>
  <si>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</si>
  <si>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</si>
  <si>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</si>
  <si>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</si>
  <si>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</si>
  <si>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</si>
  <si>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</si>
  <si>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</si>
  <si>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</si>
  <si>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</si>
  <si>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</si>
  <si>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</si>
  <si>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</si>
  <si>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</si>
  <si>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</si>
  <si>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</si>
  <si>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</si>
  <si>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</si>
  <si>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</si>
  <si>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</si>
  <si>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</si>
  <si>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</si>
  <si>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</si>
  <si>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</si>
  <si>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</si>
  <si>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</si>
  <si>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</si>
  <si>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</si>
  <si>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</si>
  <si>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</si>
  <si>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</si>
  <si>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</si>
  <si>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</si>
  <si>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</si>
  <si>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</si>
  <si>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</si>
  <si>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</si>
  <si>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</si>
  <si>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</si>
  <si>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</si>
  <si>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</si>
  <si>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</si>
  <si>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</si>
  <si>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</si>
  <si>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</si>
  <si>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</si>
  <si>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</si>
  <si>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</si>
  <si>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</si>
  <si>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</si>
  <si>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</si>
  <si>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</si>
  <si>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</si>
  <si>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</si>
  <si>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</si>
  <si>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</si>
  <si>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</si>
  <si>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</si>
  <si>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</si>
  <si>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</si>
  <si>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</si>
  <si>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</si>
  <si>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</si>
  <si>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</si>
  <si>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</si>
  <si>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</si>
  <si>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</si>
  <si>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</si>
  <si>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</si>
  <si>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</si>
  <si>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</si>
  <si>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</si>
  <si>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</si>
  <si>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</si>
  <si>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</si>
  <si>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</si>
  <si>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</si>
  <si>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</si>
  <si>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</si>
  <si>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</si>
  <si>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</si>
  <si>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</si>
  <si>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</si>
  <si>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</si>
  <si>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</si>
  <si>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</si>
  <si>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</si>
  <si>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</si>
  <si>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</si>
  <si>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</si>
  <si>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</si>
  <si>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</si>
  <si>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</si>
  <si>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</si>
  <si>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</si>
  <si>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</si>
  <si>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</si>
  <si>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</si>
  <si>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</si>
  <si>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</si>
  <si>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</si>
  <si>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</si>
  <si>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</si>
  <si>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</si>
  <si>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</si>
  <si>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</si>
  <si>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</si>
  <si>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</si>
  <si>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</si>
  <si>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</si>
  <si>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</si>
  <si>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</si>
  <si>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</si>
  <si>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</si>
  <si>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</si>
  <si>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</si>
  <si>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</si>
  <si>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</si>
  <si>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</si>
  <si>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</si>
  <si>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</si>
  <si>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</si>
  <si>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</si>
  <si>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</si>
  <si>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</si>
  <si>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</si>
  <si>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</si>
  <si>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</si>
  <si>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</si>
  <si>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</si>
  <si>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</si>
  <si>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</si>
  <si>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</si>
  <si>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</si>
  <si>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</si>
  <si>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</si>
  <si>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</si>
  <si>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</si>
  <si>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</si>
  <si>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</si>
  <si>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</si>
  <si>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</si>
  <si>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</si>
  <si>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</si>
  <si>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</si>
  <si>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</si>
  <si>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</si>
  <si>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</si>
  <si>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</si>
  <si>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</si>
  <si>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</si>
  <si>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</si>
  <si>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</si>
  <si>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</si>
  <si>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</si>
  <si>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</si>
  <si>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</si>
  <si>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</si>
  <si>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</si>
  <si>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</si>
  <si>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</si>
  <si>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</si>
  <si>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</si>
  <si>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</si>
  <si>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</si>
  <si>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</si>
  <si>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</si>
  <si>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</si>
  <si>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</si>
  <si>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</si>
  <si>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</si>
  <si>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</si>
  <si>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</si>
  <si>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</si>
  <si>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</si>
  <si>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</si>
  <si>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</si>
  <si>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</si>
  <si>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</si>
  <si>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</si>
  <si>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</si>
  <si>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</si>
  <si>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</si>
  <si>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</si>
  <si>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</si>
  <si>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</si>
  <si>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</si>
  <si>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</si>
  <si>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</si>
  <si>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</si>
  <si>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</si>
  <si>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</si>
  <si>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</si>
  <si>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</si>
  <si>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</si>
  <si>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</si>
  <si>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</si>
  <si>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</si>
  <si>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</si>
  <si>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</si>
  <si>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</si>
  <si>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</si>
  <si>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</si>
  <si>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</si>
  <si>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</si>
  <si>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</si>
  <si>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</si>
  <si>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</si>
  <si>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</si>
  <si>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</si>
  <si>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</si>
  <si>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</si>
  <si>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</si>
  <si>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</si>
  <si>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</si>
  <si>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</si>
  <si>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</si>
  <si>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</si>
  <si>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</si>
  <si>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</si>
  <si>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</si>
  <si>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</si>
  <si>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</si>
  <si>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</si>
  <si>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</si>
  <si>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</si>
  <si>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</si>
  <si>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</si>
  <si>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</si>
  <si>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</si>
  <si>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</si>
  <si>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</si>
  <si>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</si>
  <si>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</si>
  <si>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</si>
  <si>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</si>
  <si>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</si>
  <si>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</si>
  <si>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</si>
  <si>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</si>
  <si>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</si>
  <si>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</si>
  <si>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</si>
  <si>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</si>
  <si>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</si>
  <si>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</si>
  <si>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</si>
  <si>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</si>
  <si>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</si>
  <si>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</si>
  <si>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</si>
  <si>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</si>
  <si>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</si>
  <si>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</si>
  <si>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</si>
  <si>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</si>
  <si>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</si>
  <si>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</si>
  <si>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</si>
  <si>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</si>
  <si>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</si>
  <si>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</si>
  <si>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</si>
  <si>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</si>
  <si>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</si>
  <si>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</si>
  <si>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</si>
  <si>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</si>
  <si>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</si>
  <si>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</si>
  <si>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</si>
  <si>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</si>
  <si>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</si>
  <si>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</si>
  <si>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</si>
  <si>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</si>
  <si>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</si>
  <si>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</si>
  <si>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</si>
  <si>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</si>
  <si>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</si>
  <si>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</si>
  <si>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</si>
  <si>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</si>
  <si>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</si>
  <si>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</si>
  <si>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</si>
  <si>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</si>
  <si>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</si>
  <si>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</si>
  <si>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</si>
  <si>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</si>
  <si>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</si>
  <si>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</si>
  <si>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</si>
  <si>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</si>
  <si>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</si>
  <si>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</si>
  <si>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</si>
  <si>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</si>
  <si>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</si>
  <si>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</si>
  <si>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</si>
  <si>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</si>
  <si>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</si>
  <si>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</si>
  <si>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</si>
  <si>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</si>
  <si>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</si>
  <si>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</si>
  <si>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</si>
  <si>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</si>
  <si>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</si>
  <si>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</si>
  <si>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</si>
  <si>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</si>
  <si>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</si>
  <si>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</si>
  <si>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</si>
  <si>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</si>
  <si>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</si>
  <si>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</si>
  <si>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</si>
  <si>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</si>
  <si>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</si>
  <si>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</si>
  <si>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</si>
  <si>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</si>
  <si>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</si>
  <si>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</si>
  <si>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</si>
  <si>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</si>
  <si>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</si>
  <si>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</si>
  <si>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</si>
  <si>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</si>
  <si>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</si>
  <si>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</si>
  <si>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</si>
  <si>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</si>
  <si>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</si>
  <si>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</si>
  <si>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</si>
  <si>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</si>
  <si>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</si>
  <si>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</si>
  <si>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</si>
  <si>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</si>
  <si>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</si>
  <si>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</si>
  <si>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</si>
  <si>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</si>
  <si>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</si>
  <si>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</si>
  <si>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</si>
  <si>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</si>
  <si>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</si>
  <si>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</si>
  <si>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</si>
  <si>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</si>
  <si>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</si>
  <si>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</si>
  <si>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</si>
  <si>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</si>
  <si>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</si>
  <si>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</si>
  <si>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</si>
  <si>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</si>
  <si>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</si>
  <si>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</si>
  <si>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</si>
  <si>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</si>
  <si>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</si>
  <si>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</si>
  <si>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</si>
  <si>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</si>
  <si>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</si>
  <si>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</si>
  <si>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</si>
  <si>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</si>
  <si>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</si>
  <si>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</si>
  <si>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</si>
  <si>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</si>
  <si>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</si>
  <si>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</si>
  <si>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</si>
  <si>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</si>
  <si>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</si>
  <si>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</si>
  <si>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</si>
  <si>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</si>
  <si>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</si>
  <si>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</si>
  <si>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</si>
  <si>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</si>
  <si>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</si>
  <si>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</si>
  <si>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</si>
  <si>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</si>
  <si>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</si>
  <si>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</si>
  <si>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</si>
  <si>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</si>
  <si>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</si>
  <si>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</si>
  <si>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</si>
  <si>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</si>
  <si>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</si>
  <si>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</si>
  <si>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</si>
  <si>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</si>
  <si>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</si>
  <si>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</si>
  <si>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</si>
  <si>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</si>
  <si>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</si>
  <si>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</si>
  <si>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</si>
  <si>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</si>
  <si>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</si>
  <si>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</si>
  <si>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</si>
  <si>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</si>
  <si>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</si>
  <si>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</si>
  <si>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</si>
  <si>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</si>
  <si>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</si>
  <si>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</si>
  <si>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</si>
  <si>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</si>
  <si>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</si>
  <si>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</si>
  <si>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</si>
  <si>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</si>
  <si>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</si>
  <si>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</si>
  <si>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</si>
  <si>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</si>
  <si>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</si>
  <si>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</si>
  <si>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</si>
  <si>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</si>
  <si>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</si>
  <si>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</si>
  <si>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</si>
  <si>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</si>
  <si>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</si>
  <si>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</si>
  <si>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</si>
  <si>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</si>
  <si>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</si>
  <si>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</si>
  <si>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</si>
  <si>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</si>
  <si>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</si>
  <si>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</si>
  <si>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</si>
  <si>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</si>
  <si>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</si>
  <si>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</si>
  <si>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</si>
  <si>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</si>
  <si>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</si>
  <si>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</si>
  <si>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</si>
  <si>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</si>
  <si>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</si>
  <si>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</si>
  <si>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</si>
  <si>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</si>
  <si>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</si>
  <si>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</si>
  <si>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</si>
  <si>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</si>
  <si>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</si>
  <si>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</si>
  <si>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</si>
  <si>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</si>
  <si>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</si>
  <si>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</si>
  <si>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</si>
  <si>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</si>
  <si>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</si>
  <si>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</si>
  <si>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</si>
  <si>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</si>
  <si>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</si>
  <si>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</si>
  <si>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</si>
  <si>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</si>
  <si>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</si>
  <si>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</si>
  <si>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</si>
  <si>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</si>
  <si>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</si>
  <si>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</si>
  <si>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</si>
  <si>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</si>
  <si>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</si>
  <si>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</si>
  <si>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</si>
  <si>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</si>
  <si>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</si>
  <si>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</si>
  <si>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</si>
  <si>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</si>
  <si>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</si>
  <si>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</si>
  <si>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</si>
  <si>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</si>
  <si>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</si>
  <si>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</si>
  <si>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</si>
  <si>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</si>
  <si>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</si>
  <si>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</si>
  <si>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</si>
  <si>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</si>
  <si>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</si>
  <si>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</si>
  <si>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</si>
  <si>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</si>
  <si>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</si>
  <si>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</si>
  <si>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</si>
  <si>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</si>
  <si>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</si>
  <si>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</si>
  <si>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</si>
  <si>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</si>
  <si>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</si>
  <si>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</si>
  <si>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</si>
  <si>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</si>
  <si>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</si>
  <si>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</si>
  <si>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</si>
  <si>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</si>
  <si>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</si>
  <si>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</si>
  <si>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</si>
  <si>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</si>
  <si>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</si>
  <si>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</si>
  <si>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</si>
  <si>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</si>
  <si>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</si>
  <si>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</si>
  <si>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</si>
  <si>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</si>
  <si>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</si>
  <si>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</si>
  <si>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</si>
  <si>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</si>
  <si>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</si>
  <si>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</si>
  <si>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</si>
  <si>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</si>
  <si>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</si>
  <si>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</si>
  <si>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</si>
  <si>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</si>
  <si>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</si>
  <si>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</si>
  <si>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</si>
  <si>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</si>
  <si>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</si>
  <si>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</si>
  <si>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</si>
  <si>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</si>
  <si>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</si>
  <si>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</si>
  <si>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</si>
  <si>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</si>
  <si>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</si>
  <si>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</si>
  <si>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</si>
  <si>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</si>
  <si>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</si>
  <si>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</si>
  <si>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</si>
  <si>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</si>
  <si>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</si>
  <si>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</si>
  <si>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</si>
  <si>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</si>
  <si>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</si>
  <si>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</si>
  <si>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</si>
  <si>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</si>
  <si>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</si>
  <si>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</si>
  <si>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</si>
  <si>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</si>
  <si>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</si>
  <si>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</si>
  <si>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</si>
  <si>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</si>
  <si>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</si>
  <si>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</si>
  <si>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</si>
  <si>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</si>
  <si>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</si>
  <si>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</si>
  <si>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</si>
  <si>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</si>
  <si>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</si>
  <si>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</si>
  <si>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</si>
  <si>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</si>
  <si>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</si>
  <si>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</si>
  <si>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</si>
  <si>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</si>
  <si>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</si>
  <si>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</si>
  <si>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</si>
  <si>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</si>
  <si>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</si>
  <si>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</si>
  <si>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</si>
  <si>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</si>
  <si>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</si>
  <si>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</si>
  <si>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</si>
  <si>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</si>
  <si>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</si>
  <si>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</si>
  <si>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</si>
  <si>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</si>
  <si>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</si>
  <si>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</si>
  <si>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</si>
  <si>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</si>
  <si>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</si>
  <si>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</si>
  <si>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</si>
  <si>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</si>
  <si>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</si>
  <si>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</si>
  <si>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</si>
  <si>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</si>
  <si>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</si>
  <si>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</si>
  <si>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</si>
  <si>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</si>
  <si>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</si>
  <si>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</si>
  <si>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</si>
  <si>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</si>
  <si>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</si>
  <si>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</si>
  <si>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</si>
  <si>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</si>
  <si>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</si>
  <si>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</si>
  <si>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</si>
  <si>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</si>
  <si>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</si>
  <si>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</si>
  <si>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</si>
  <si>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</si>
  <si>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</si>
  <si>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</si>
  <si>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</si>
  <si>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</si>
  <si>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</si>
  <si>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</si>
  <si>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</si>
  <si>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</si>
  <si>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</si>
  <si>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</si>
  <si>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</si>
  <si>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</si>
  <si>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</si>
  <si>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</si>
  <si>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</si>
  <si>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</si>
  <si>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</si>
  <si>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</si>
  <si>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</si>
  <si>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</si>
  <si>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</si>
  <si>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</si>
  <si>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</si>
  <si>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</si>
  <si>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</si>
  <si>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</si>
  <si>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</si>
  <si>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</si>
  <si>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</si>
  <si>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</si>
  <si>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</si>
  <si>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</si>
  <si>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</si>
  <si>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</si>
  <si>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</si>
  <si>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</si>
  <si>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</si>
  <si>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</si>
  <si>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</si>
  <si>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</si>
  <si>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</si>
  <si>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</si>
  <si>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</si>
  <si>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</si>
  <si>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</si>
  <si>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</si>
  <si>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</si>
  <si>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</si>
  <si>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</si>
  <si>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</si>
  <si>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</si>
  <si>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</si>
  <si>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</si>
  <si>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</si>
  <si>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</si>
  <si>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</si>
  <si>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</si>
  <si>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</si>
  <si>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</si>
  <si>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</si>
  <si>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</si>
  <si>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</si>
  <si>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</si>
  <si>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</si>
  <si>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</si>
  <si>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</si>
  <si>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</si>
  <si>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</si>
  <si>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</si>
  <si>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</si>
  <si>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</si>
  <si>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</si>
  <si>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</si>
  <si>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</si>
  <si>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</si>
  <si>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</si>
  <si>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</si>
  <si>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</si>
  <si>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</si>
  <si>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</si>
  <si>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</si>
  <si>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</si>
  <si>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</si>
  <si>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</si>
  <si>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</si>
  <si>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</si>
  <si>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</si>
  <si>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</si>
  <si>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</si>
  <si>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</si>
  <si>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</si>
  <si>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</si>
  <si>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</si>
  <si>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</si>
  <si>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</si>
  <si>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</si>
  <si>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</si>
  <si>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</si>
  <si>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</si>
  <si>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</si>
  <si>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</si>
  <si>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</si>
  <si>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</si>
  <si>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</si>
  <si>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</si>
  <si>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</si>
  <si>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</si>
  <si>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</si>
  <si>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</si>
  <si>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</si>
  <si>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</si>
  <si>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</si>
  <si>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</si>
  <si>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</si>
  <si>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</si>
  <si>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</si>
  <si>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</si>
  <si>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</si>
  <si>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</si>
  <si>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</si>
  <si>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</si>
  <si>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</si>
  <si>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</si>
  <si>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</si>
  <si>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</si>
  <si>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</si>
  <si>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</si>
  <si>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</si>
  <si>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</si>
  <si>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</si>
  <si>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</si>
  <si>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</si>
  <si>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</si>
  <si>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</si>
  <si>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</si>
  <si>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</si>
  <si>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</si>
  <si>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</si>
  <si>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</si>
  <si>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</si>
  <si>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</si>
  <si>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</si>
  <si>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</si>
  <si>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</si>
  <si>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</si>
  <si>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</si>
  <si>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</si>
  <si>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</si>
  <si>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</si>
  <si>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</si>
  <si>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</si>
  <si>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</si>
  <si>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</si>
  <si>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</si>
  <si>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</si>
  <si>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</si>
  <si>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</si>
  <si>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</si>
  <si>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</si>
  <si>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</si>
  <si>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</si>
  <si>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</si>
  <si>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</si>
  <si>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</si>
  <si>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</si>
  <si>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</si>
  <si>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</si>
  <si>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</si>
  <si>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</si>
  <si>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</si>
  <si>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</si>
  <si>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</si>
  <si>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</si>
  <si>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</si>
  <si>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</si>
  <si>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</si>
  <si>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</si>
  <si>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</si>
  <si>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</si>
  <si>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</si>
  <si>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</si>
  <si>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</si>
  <si>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</si>
  <si>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</si>
  <si>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</si>
  <si>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</si>
  <si>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</si>
  <si>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</si>
  <si>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</si>
  <si>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</si>
  <si>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</si>
  <si>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</si>
  <si>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</si>
  <si>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</si>
  <si>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</si>
  <si>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</si>
  <si>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</si>
  <si>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</si>
  <si>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</si>
  <si>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</si>
  <si>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</si>
  <si>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</si>
  <si>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</si>
  <si>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</si>
  <si>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</si>
  <si>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</si>
  <si>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</si>
  <si>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</si>
  <si>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</si>
  <si>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</si>
  <si>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</si>
  <si>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</si>
  <si>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</si>
  <si>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</si>
  <si>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</si>
  <si>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</si>
  <si>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</si>
  <si>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</si>
  <si>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</si>
  <si>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</si>
  <si>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</si>
  <si>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</si>
  <si>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</si>
  <si>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</si>
  <si>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</si>
  <si>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</si>
  <si>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</si>
  <si>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</si>
  <si>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</si>
  <si>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</si>
  <si>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</si>
  <si>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</si>
  <si>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</si>
  <si>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</si>
  <si>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</si>
  <si>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</si>
  <si>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</si>
  <si>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</si>
  <si>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</si>
  <si>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</si>
  <si>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</si>
  <si>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</si>
  <si>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</si>
  <si>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</si>
  <si>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</si>
  <si>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</si>
  <si>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</si>
  <si>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</si>
  <si>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</si>
  <si>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</si>
  <si>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</si>
  <si>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</si>
  <si>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</si>
  <si>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</si>
  <si>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</si>
  <si>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</si>
  <si>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</si>
  <si>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</si>
  <si>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</si>
  <si>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</si>
  <si>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</si>
  <si>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</si>
  <si>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</si>
  <si>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</si>
  <si>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</si>
  <si>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</si>
  <si>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</si>
  <si>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</si>
  <si>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</si>
  <si>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</si>
  <si>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</si>
  <si>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</si>
  <si>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</si>
  <si>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</si>
  <si>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</si>
  <si>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</si>
  <si>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</si>
  <si>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</si>
  <si>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</si>
  <si>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</si>
  <si>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</si>
  <si>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</si>
  <si>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</si>
  <si>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</si>
  <si>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</si>
  <si>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</si>
  <si>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</si>
  <si>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</si>
  <si>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</si>
  <si>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</si>
  <si>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</si>
  <si>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</si>
  <si>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</si>
  <si>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</si>
  <si>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</si>
  <si>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</si>
  <si>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</si>
  <si>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</si>
  <si>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</si>
  <si>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</si>
  <si>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</si>
  <si>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</si>
  <si>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</si>
  <si>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</si>
  <si>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</si>
  <si>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</si>
  <si>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</si>
  <si>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</si>
  <si>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</si>
  <si>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</si>
  <si>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</si>
  <si>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</si>
  <si>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</si>
  <si>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</si>
  <si>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</si>
  <si>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</si>
  <si>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</si>
  <si>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</si>
  <si>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</si>
  <si>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</si>
  <si>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</si>
  <si>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</si>
  <si>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</si>
  <si>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</si>
  <si>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</si>
  <si>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</si>
  <si>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</si>
  <si>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</si>
  <si>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</si>
  <si>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</si>
  <si>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</si>
  <si>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</si>
  <si>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</si>
  <si>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</si>
  <si>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</si>
  <si>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</si>
  <si>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</si>
  <si>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</si>
  <si>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</si>
  <si>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</si>
  <si>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</si>
  <si>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</si>
  <si>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</si>
  <si>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</si>
  <si>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</si>
  <si>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</si>
  <si>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</si>
  <si>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</si>
  <si>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</si>
  <si>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</si>
  <si>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</si>
  <si>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</si>
  <si>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</si>
  <si>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</si>
  <si>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</si>
  <si>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</si>
  <si>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</si>
  <si>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</si>
  <si>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</si>
  <si>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</si>
  <si>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</si>
  <si>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</si>
  <si>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</si>
  <si>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</si>
  <si>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</si>
  <si>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</si>
  <si>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</si>
  <si>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</si>
  <si>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</si>
  <si>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</si>
  <si>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</si>
  <si>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</si>
  <si>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</si>
  <si>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</si>
  <si>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</si>
  <si>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</si>
  <si>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</si>
  <si>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</si>
  <si>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</si>
  <si>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</si>
  <si>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</si>
  <si>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</si>
  <si>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</si>
  <si>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</si>
  <si>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</si>
  <si>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</si>
  <si>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</si>
  <si>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</si>
  <si>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</si>
  <si>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</si>
  <si>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</si>
  <si>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</si>
  <si>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</si>
  <si>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</si>
  <si>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</si>
  <si>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</si>
  <si>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</si>
  <si>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</si>
  <si>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</si>
  <si>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</si>
  <si>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</si>
  <si>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</si>
  <si>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</si>
  <si>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</si>
  <si>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</si>
  <si>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</si>
  <si>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</si>
  <si>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</si>
  <si>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</si>
  <si>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</si>
  <si>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</si>
  <si>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</si>
  <si>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</si>
  <si>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</si>
  <si>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</si>
  <si>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</si>
  <si>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</si>
  <si>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</si>
  <si>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</si>
  <si>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</si>
  <si>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</si>
  <si>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</si>
  <si>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</si>
  <si>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</si>
  <si>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</si>
  <si>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</si>
  <si>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</si>
  <si>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</si>
  <si>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</si>
  <si>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</si>
  <si>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</si>
  <si>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</si>
  <si>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</si>
  <si>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</si>
  <si>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</si>
  <si>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</si>
  <si>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</si>
  <si>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</si>
  <si>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</si>
  <si>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</si>
  <si>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</si>
  <si>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</si>
  <si>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</si>
  <si>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</si>
  <si>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</si>
  <si>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</si>
  <si>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</si>
  <si>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</si>
  <si>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</si>
  <si>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</si>
  <si>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</si>
  <si>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</si>
  <si>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</si>
  <si>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</si>
  <si>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</si>
  <si>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</si>
  <si>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</si>
  <si>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</si>
  <si>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</si>
  <si>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</si>
  <si>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</si>
  <si>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</si>
  <si>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</si>
  <si>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</si>
  <si>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</si>
  <si>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</si>
  <si>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</si>
  <si>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</si>
  <si>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</si>
  <si>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</si>
  <si>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</si>
  <si>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</si>
  <si>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</si>
  <si>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</si>
  <si>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</si>
  <si>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</si>
  <si>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</si>
  <si>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</si>
  <si>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</si>
  <si>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</si>
  <si>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</si>
  <si>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</si>
  <si>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</si>
  <si>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</si>
  <si>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</si>
  <si>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</si>
  <si>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</si>
  <si>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</si>
  <si>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</si>
  <si>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</si>
  <si>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</si>
  <si>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</si>
  <si>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</si>
  <si>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</si>
  <si>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</si>
  <si>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</si>
  <si>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</si>
  <si>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</si>
  <si>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</si>
  <si>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</si>
  <si>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</si>
  <si>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</si>
  <si>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</si>
  <si>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</si>
  <si>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</si>
  <si>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</si>
  <si>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</si>
  <si>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</si>
  <si>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</si>
  <si>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</si>
  <si>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</si>
  <si>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</si>
  <si>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</si>
  <si>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</si>
  <si>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</si>
  <si>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</si>
  <si>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</si>
  <si>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</si>
  <si>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</si>
  <si>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</si>
  <si>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</si>
  <si>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</si>
  <si>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</si>
  <si>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</si>
  <si>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</si>
  <si>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</si>
  <si>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</si>
  <si>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</si>
  <si>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</si>
  <si>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</si>
  <si>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</si>
  <si>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</si>
  <si>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</si>
  <si>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</si>
  <si>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</si>
  <si>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</si>
  <si>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</si>
  <si>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</si>
  <si>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</si>
  <si>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</si>
  <si>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</si>
  <si>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</si>
  <si>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</si>
  <si>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</si>
  <si>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</si>
  <si>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</si>
  <si>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</si>
  <si>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</si>
  <si>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</si>
  <si>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</si>
  <si>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</si>
  <si>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</si>
  <si>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</si>
  <si>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</si>
  <si>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</si>
  <si>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</si>
  <si>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</si>
  <si>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</si>
  <si>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</si>
  <si>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</si>
  <si>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</si>
  <si>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</si>
  <si>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</si>
  <si>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</si>
  <si>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</si>
  <si>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</si>
  <si>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</si>
  <si>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</si>
  <si>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</si>
  <si>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</si>
  <si>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</si>
  <si>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</si>
  <si>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</si>
  <si>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</si>
  <si>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</si>
  <si>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</si>
  <si>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</si>
  <si>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</si>
  <si>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</si>
  <si>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</si>
  <si>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</si>
  <si>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</si>
  <si>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</si>
  <si>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</si>
  <si>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</si>
  <si>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</si>
  <si>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</si>
  <si>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</si>
  <si>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</si>
  <si>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</si>
  <si>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</si>
  <si>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</si>
  <si>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</si>
  <si>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</si>
  <si>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</si>
  <si>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</si>
  <si>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</si>
  <si>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</si>
  <si>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</si>
  <si>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</si>
  <si>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</si>
  <si>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</si>
  <si>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</si>
  <si>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</si>
  <si>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</si>
  <si>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</si>
  <si>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</si>
  <si>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</si>
  <si>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</si>
  <si>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</si>
  <si>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</si>
  <si>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</si>
  <si>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</si>
  <si>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</si>
  <si>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</si>
  <si>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</si>
  <si>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</si>
  <si>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</si>
  <si>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</si>
  <si>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</si>
  <si>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</si>
  <si>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</si>
  <si>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</si>
  <si>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</si>
  <si>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</si>
  <si>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</si>
  <si>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</si>
  <si>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</si>
  <si>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</si>
  <si>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</si>
  <si>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</si>
  <si>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</si>
  <si>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</si>
  <si>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</si>
  <si>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</si>
  <si>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</si>
  <si>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</si>
  <si>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</si>
  <si>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</si>
  <si>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</si>
  <si>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</si>
  <si>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</si>
  <si>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</si>
  <si>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</si>
  <si>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</si>
  <si>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</si>
  <si>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</si>
  <si>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</si>
  <si>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</si>
  <si>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</si>
  <si>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</si>
  <si>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</si>
  <si>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</si>
  <si>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</si>
  <si>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</si>
  <si>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</si>
  <si>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</si>
  <si>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</si>
  <si>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</si>
  <si>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</si>
  <si>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</si>
  <si>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</si>
  <si>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</si>
  <si>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</si>
  <si>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</si>
  <si>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</si>
  <si>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</si>
  <si>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</si>
  <si>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</si>
  <si>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</si>
  <si>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</si>
  <si>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</si>
  <si>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</si>
  <si>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</si>
  <si>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</si>
  <si>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</si>
  <si>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</si>
  <si>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</si>
  <si>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</si>
  <si>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</si>
  <si>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</si>
  <si>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</si>
  <si>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</si>
  <si>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</si>
  <si>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</si>
  <si>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</si>
  <si>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</si>
  <si>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</si>
  <si>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</si>
  <si>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</si>
  <si>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</si>
  <si>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</si>
  <si>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</si>
  <si>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</si>
  <si>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</si>
  <si>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</si>
  <si>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</si>
  <si>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</si>
  <si>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</si>
  <si>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</si>
  <si>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</si>
  <si>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</si>
  <si>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</si>
  <si>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</si>
  <si>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</si>
  <si>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</si>
  <si>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</si>
  <si>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</si>
  <si>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</si>
  <si>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</si>
  <si>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</si>
  <si>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</si>
  <si>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</si>
  <si>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</si>
  <si>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</si>
  <si>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</si>
  <si>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</si>
  <si>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</si>
  <si>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</si>
  <si>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</si>
  <si>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</si>
  <si>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</si>
  <si>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</si>
  <si>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</si>
  <si>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</si>
  <si>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</si>
  <si>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</si>
  <si>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</si>
  <si>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</si>
  <si>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</si>
  <si>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</si>
  <si>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</si>
  <si>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</si>
  <si>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</si>
  <si>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</si>
  <si>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</si>
  <si>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</si>
  <si>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</si>
  <si>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</si>
  <si>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</si>
  <si>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</si>
  <si>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</si>
  <si>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</si>
  <si>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</si>
  <si>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</si>
  <si>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</si>
  <si>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</si>
  <si>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</si>
  <si>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</si>
  <si>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</si>
  <si>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</si>
  <si>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</si>
  <si>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</si>
  <si>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</si>
  <si>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</si>
  <si>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</si>
  <si>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</si>
  <si>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</si>
  <si>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</si>
  <si>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</si>
  <si>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</si>
  <si>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</si>
  <si>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</si>
  <si>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</si>
  <si>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</si>
  <si>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</si>
  <si>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</si>
  <si>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</si>
  <si>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</si>
  <si>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</si>
  <si>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</si>
  <si>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</si>
  <si>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</si>
  <si>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</si>
  <si>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</si>
  <si>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</si>
  <si>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</si>
  <si>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</si>
  <si>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</si>
  <si>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</si>
  <si>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</si>
  <si>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</si>
  <si>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</si>
  <si>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</si>
  <si>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</si>
  <si>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</si>
  <si>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</si>
  <si>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</si>
  <si>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</si>
  <si>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</si>
  <si>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</si>
  <si>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</si>
  <si>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</si>
  <si>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</si>
  <si>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</si>
  <si>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</si>
  <si>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</si>
  <si>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</si>
  <si>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</si>
  <si>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</si>
  <si>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</si>
  <si>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</si>
  <si>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</si>
  <si>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</si>
  <si>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</si>
  <si>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</si>
  <si>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</si>
  <si>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</si>
  <si>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</si>
  <si>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</si>
  <si>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</si>
  <si>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</si>
  <si>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</si>
  <si>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</si>
  <si>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</si>
  <si>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</si>
  <si>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</si>
  <si>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</si>
  <si>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</si>
  <si>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</si>
  <si>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</si>
  <si>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</si>
  <si>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</si>
  <si>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</si>
  <si>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</si>
  <si>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</si>
  <si>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</si>
  <si>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</si>
  <si>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</si>
  <si>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</si>
  <si>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</si>
  <si>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</si>
  <si>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</si>
  <si>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</si>
  <si>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</si>
  <si>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</si>
  <si>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</si>
  <si>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</si>
  <si>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</si>
  <si>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</si>
  <si>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</si>
  <si>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</si>
  <si>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</si>
  <si>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</si>
  <si>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</si>
  <si>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</si>
  <si>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</si>
  <si>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</si>
  <si>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</si>
  <si>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</si>
  <si>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</si>
  <si>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</si>
  <si>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</si>
  <si>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</si>
  <si>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</si>
  <si>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</si>
  <si>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</si>
  <si>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</si>
  <si>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</si>
  <si>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</si>
  <si>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</si>
  <si>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</si>
  <si>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</si>
  <si>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</si>
  <si>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</si>
  <si>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</si>
  <si>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</si>
  <si>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</si>
  <si>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</si>
  <si>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</si>
  <si>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</si>
  <si>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</si>
  <si>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</si>
  <si>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</si>
  <si>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</si>
  <si>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</si>
  <si>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</si>
  <si>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</si>
  <si>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</si>
  <si>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</si>
  <si>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</si>
  <si>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</si>
  <si>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</si>
  <si>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</si>
  <si>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</si>
  <si>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</si>
  <si>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</si>
  <si>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</si>
  <si>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</si>
  <si>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</si>
  <si>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</si>
  <si>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</si>
  <si>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</si>
  <si>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</si>
  <si>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</si>
  <si>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</si>
  <si>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</si>
  <si>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</si>
  <si>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</si>
  <si>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</si>
  <si>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</si>
  <si>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</si>
  <si>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</si>
  <si>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</si>
  <si>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</si>
  <si>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</si>
  <si>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</si>
  <si>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</si>
  <si>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</si>
  <si>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</si>
  <si>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</si>
  <si>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</si>
  <si>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</si>
  <si>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</si>
  <si>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</si>
  <si>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</si>
  <si>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</si>
  <si>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</si>
  <si>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</si>
  <si>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</si>
  <si>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</si>
  <si>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</si>
  <si>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</si>
  <si>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</si>
  <si>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</si>
  <si>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</si>
  <si>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</si>
  <si>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</si>
  <si>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</si>
  <si>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</si>
  <si>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</si>
  <si>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</si>
  <si>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</si>
  <si>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</si>
  <si>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</si>
  <si>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</si>
  <si>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</si>
  <si>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</si>
  <si>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</si>
  <si>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</si>
  <si>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</si>
  <si>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</si>
  <si>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</si>
  <si>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</si>
  <si>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</si>
  <si>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</si>
  <si>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</si>
  <si>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</si>
  <si>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</si>
  <si>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</si>
  <si>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</si>
  <si>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</si>
  <si>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</si>
  <si>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</si>
  <si>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</si>
  <si>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</si>
  <si>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</si>
  <si>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</si>
  <si>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</si>
  <si>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</si>
  <si>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</si>
  <si>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</si>
  <si>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</si>
  <si>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</si>
  <si>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</si>
  <si>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</si>
  <si>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</si>
  <si>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</si>
  <si>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</si>
  <si>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</si>
  <si>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</si>
  <si>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</si>
  <si>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</si>
  <si>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</si>
  <si>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</si>
  <si>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</si>
  <si>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</si>
  <si>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</si>
  <si>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</si>
  <si>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</si>
  <si>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</si>
  <si>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</si>
  <si>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</si>
  <si>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</si>
  <si>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</si>
  <si>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</si>
  <si>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</si>
  <si>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</si>
  <si>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</si>
  <si>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</si>
  <si>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</si>
  <si>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</si>
  <si>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</si>
  <si>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</si>
  <si>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</si>
  <si>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</si>
  <si>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</si>
  <si>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</si>
  <si>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</si>
  <si>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</si>
  <si>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</si>
  <si>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</si>
  <si>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</si>
  <si>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</si>
  <si>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</si>
  <si>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</si>
  <si>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</si>
  <si>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</si>
  <si>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</si>
  <si>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</si>
  <si>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</si>
  <si>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</si>
  <si>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</si>
  <si>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</si>
  <si>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</si>
  <si>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</si>
  <si>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</si>
  <si>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</si>
  <si>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</si>
  <si>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</si>
  <si>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</si>
  <si>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</si>
  <si>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</si>
  <si>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</si>
  <si>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</si>
  <si>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</si>
  <si>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</si>
  <si>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</si>
  <si>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</si>
  <si>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</si>
  <si>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</si>
  <si>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</si>
  <si>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</si>
  <si>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</si>
  <si>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</si>
  <si>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</si>
  <si>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</si>
  <si>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</si>
  <si>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</si>
  <si>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</si>
  <si>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</si>
  <si>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</si>
  <si>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</si>
  <si>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</si>
  <si>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</si>
  <si>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</si>
  <si>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</si>
  <si>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</si>
  <si>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</si>
  <si>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</si>
  <si>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</si>
  <si>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</si>
  <si>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</si>
  <si>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</si>
  <si>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</si>
  <si>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</si>
  <si>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</si>
  <si>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</si>
  <si>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</si>
  <si>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</si>
  <si>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</si>
  <si>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</si>
  <si>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</si>
  <si>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</si>
  <si>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</si>
  <si>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</si>
  <si>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</si>
  <si>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</si>
  <si>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</si>
  <si>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</si>
  <si>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</si>
  <si>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</si>
  <si>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</si>
  <si>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</si>
  <si>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</si>
  <si>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</si>
  <si>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</si>
  <si>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</si>
  <si>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</si>
  <si>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</si>
  <si>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</si>
  <si>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</si>
  <si>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</si>
  <si>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</si>
  <si>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</si>
  <si>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</si>
  <si>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</si>
  <si>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</si>
  <si>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</si>
  <si>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</si>
  <si>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</si>
  <si>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</si>
  <si>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</si>
  <si>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</si>
  <si>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</si>
  <si>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</si>
  <si>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</si>
  <si>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</si>
  <si>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</si>
  <si>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</si>
  <si>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</si>
  <si>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</si>
  <si>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</si>
  <si>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</si>
  <si>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</si>
  <si>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</si>
  <si>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</si>
  <si>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</si>
  <si>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</si>
  <si>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</si>
  <si>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</si>
  <si>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</si>
  <si>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</si>
  <si>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</si>
  <si>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</si>
  <si>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</si>
  <si>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</si>
  <si>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</si>
  <si>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</si>
  <si>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</si>
  <si>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</si>
  <si>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</si>
  <si>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</si>
  <si>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</si>
  <si>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</si>
  <si>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</si>
  <si>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</si>
  <si>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</si>
  <si>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</si>
  <si>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</si>
  <si>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</si>
  <si>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</si>
  <si>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</si>
  <si>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</si>
  <si>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</si>
  <si>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</si>
  <si>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</si>
  <si>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</si>
  <si>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</si>
  <si>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</si>
  <si>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</si>
  <si>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</si>
  <si>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</si>
  <si>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</si>
  <si>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</si>
  <si>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</si>
  <si>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</si>
  <si>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</si>
  <si>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</si>
  <si>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</si>
  <si>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</si>
  <si>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</si>
  <si>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</si>
  <si>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</si>
  <si>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</si>
  <si>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</si>
  <si>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</si>
  <si>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</si>
  <si>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</si>
  <si>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</si>
  <si>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</si>
  <si>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</si>
  <si>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</si>
  <si>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</si>
  <si>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</si>
  <si>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</si>
  <si>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</si>
  <si>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</si>
  <si>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</si>
  <si>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</si>
  <si>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</si>
  <si>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</si>
  <si>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</si>
  <si>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</si>
  <si>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</si>
  <si>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</si>
  <si>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</si>
  <si>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</si>
  <si>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</si>
  <si>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</si>
  <si>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</si>
  <si>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</si>
  <si>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</si>
  <si>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</si>
  <si>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</si>
  <si>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</si>
  <si>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</si>
  <si>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</si>
  <si>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</si>
  <si>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</si>
  <si>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</si>
  <si>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</si>
  <si>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</si>
  <si>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</si>
  <si>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</si>
  <si>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</si>
  <si>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</si>
  <si>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</si>
  <si>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</si>
  <si>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</si>
  <si>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</si>
  <si>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</si>
  <si>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</si>
  <si>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</si>
  <si>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</si>
  <si>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</si>
  <si>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</si>
  <si>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</si>
  <si>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</si>
  <si>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</si>
  <si>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</si>
  <si>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</si>
  <si>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</si>
  <si>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</si>
  <si>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</si>
  <si>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</si>
  <si>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</si>
  <si>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</si>
  <si>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</si>
  <si>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</si>
  <si>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</si>
  <si>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</si>
  <si>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</si>
  <si>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</si>
  <si>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</si>
  <si>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</si>
  <si>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</si>
  <si>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</si>
  <si>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</si>
  <si>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</si>
  <si>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</si>
  <si>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</si>
  <si>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</si>
  <si>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</si>
  <si>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</si>
  <si>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</si>
  <si>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</si>
  <si>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</si>
  <si>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</si>
  <si>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</si>
  <si>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</si>
  <si>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</si>
  <si>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</si>
  <si>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</si>
  <si>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</si>
  <si>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</si>
  <si>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</si>
  <si>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</si>
  <si>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</si>
  <si>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</si>
  <si>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</si>
  <si>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</si>
  <si>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</si>
  <si>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</si>
  <si>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</si>
  <si>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</si>
  <si>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</si>
  <si>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</si>
  <si>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</si>
  <si>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</si>
  <si>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</si>
  <si>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</si>
  <si>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</si>
  <si>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</si>
  <si>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</si>
  <si>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</si>
  <si>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</si>
  <si>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</si>
  <si>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</si>
  <si>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</si>
  <si>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</si>
  <si>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</si>
  <si>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</si>
  <si>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</si>
  <si>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</si>
  <si>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</si>
  <si>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</si>
  <si>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</si>
  <si>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</si>
  <si>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</si>
  <si>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</si>
  <si>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</si>
  <si>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</si>
  <si>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</si>
  <si>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</si>
  <si>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</si>
  <si>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</si>
  <si>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</si>
  <si>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</si>
  <si>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</si>
  <si>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</si>
  <si>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</si>
  <si>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</si>
  <si>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</si>
  <si>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</si>
  <si>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</si>
  <si>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</si>
  <si>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</si>
  <si>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</si>
  <si>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</si>
  <si>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</si>
  <si>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</si>
  <si>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</si>
  <si>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</si>
  <si>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</si>
  <si>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</si>
  <si>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</si>
  <si>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</si>
  <si>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</si>
  <si>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</si>
  <si>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</si>
  <si>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</si>
  <si>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</si>
  <si>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</si>
  <si>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</si>
  <si>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</si>
  <si>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</si>
  <si>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</si>
  <si>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</si>
  <si>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</si>
  <si>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</si>
  <si>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</si>
  <si>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</si>
  <si>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</si>
  <si>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</si>
  <si>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</si>
  <si>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</si>
  <si>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</si>
  <si>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</si>
  <si>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</si>
  <si>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</si>
  <si>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</si>
  <si>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</si>
  <si>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</si>
  <si>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</si>
  <si>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</si>
  <si>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</si>
  <si>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</si>
  <si>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</si>
  <si>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</si>
  <si>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</si>
  <si>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</si>
  <si>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</si>
  <si>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</si>
  <si>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</si>
  <si>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</si>
  <si>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</si>
  <si>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</si>
  <si>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</si>
  <si>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</si>
  <si>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</si>
  <si>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</si>
  <si>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</si>
  <si>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</si>
  <si>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</si>
  <si>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</si>
  <si>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</si>
  <si>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</si>
  <si>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</si>
  <si>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</si>
  <si>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</si>
  <si>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</si>
  <si>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</si>
  <si>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</si>
  <si>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</si>
  <si>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</si>
  <si>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</si>
  <si>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</si>
  <si>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</si>
  <si>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</si>
  <si>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</si>
  <si>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</si>
  <si>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</si>
  <si>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</si>
  <si>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</si>
  <si>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</si>
  <si>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</si>
  <si>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</si>
  <si>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</si>
  <si>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</si>
  <si>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</si>
  <si>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</si>
  <si>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</si>
  <si>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</si>
  <si>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</si>
  <si>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</si>
  <si>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</si>
  <si>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</si>
  <si>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</si>
  <si>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</si>
  <si>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</si>
  <si>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</si>
  <si>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</si>
  <si>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</si>
  <si>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</si>
  <si>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</si>
  <si>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</si>
  <si>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</si>
  <si>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</si>
  <si>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</si>
  <si>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</si>
  <si>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</si>
  <si>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</si>
  <si>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</si>
  <si>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</si>
  <si>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</si>
  <si>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</si>
  <si>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</si>
  <si>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</si>
  <si>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</si>
  <si>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</si>
  <si>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</si>
  <si>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</si>
  <si>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</si>
  <si>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</si>
  <si>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</si>
  <si>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</si>
  <si>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</si>
  <si>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</si>
  <si>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</si>
  <si>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</si>
  <si>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</si>
  <si>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</si>
  <si>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</si>
  <si>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</si>
  <si>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</si>
  <si>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</si>
  <si>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</si>
  <si>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</si>
  <si>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</si>
  <si>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</si>
  <si>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</si>
  <si>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</si>
  <si>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</si>
  <si>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</si>
  <si>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</si>
  <si>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</si>
  <si>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</si>
  <si>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</si>
  <si>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</si>
  <si>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</si>
  <si>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</si>
  <si>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</si>
  <si>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</si>
  <si>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</si>
  <si>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</si>
  <si>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</si>
  <si>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</si>
  <si>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</si>
  <si>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</si>
  <si>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</si>
  <si>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</si>
  <si>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</si>
  <si>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</si>
  <si>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</si>
  <si>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</si>
  <si>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</si>
  <si>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</si>
  <si>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</si>
  <si>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</si>
  <si>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</si>
  <si>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</si>
  <si>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</si>
  <si>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</si>
  <si>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</si>
  <si>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</si>
  <si>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</si>
  <si>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</si>
  <si>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</si>
  <si>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</si>
  <si>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</si>
  <si>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</si>
  <si>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</si>
  <si>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</si>
  <si>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</si>
  <si>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</si>
  <si>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</si>
  <si>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</si>
  <si>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</si>
  <si>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</si>
  <si>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</si>
  <si>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</si>
  <si>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</si>
  <si>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</si>
  <si>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</si>
  <si>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</si>
  <si>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</si>
  <si>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</si>
  <si>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</si>
  <si>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</si>
  <si>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</si>
  <si>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</si>
  <si>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</si>
  <si>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</si>
  <si>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</si>
  <si>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</si>
  <si>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</si>
  <si>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</si>
  <si>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</si>
  <si>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</si>
  <si>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</si>
  <si>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</si>
  <si>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</si>
  <si>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</si>
  <si>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</si>
  <si>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</si>
  <si>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</si>
  <si>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</si>
  <si>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</si>
  <si>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</si>
  <si>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</si>
  <si>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</si>
  <si>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</si>
  <si>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</si>
  <si>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</si>
  <si>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</si>
  <si>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</si>
  <si>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</si>
  <si>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</si>
  <si>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</si>
  <si>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</si>
  <si>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</si>
  <si>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</si>
  <si>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</si>
  <si>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</si>
  <si>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</si>
  <si>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</si>
  <si>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</si>
  <si>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</si>
  <si>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</si>
  <si>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</si>
  <si>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</si>
  <si>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</si>
  <si>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</si>
  <si>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</si>
  <si>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</si>
  <si>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</si>
  <si>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</si>
  <si>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</si>
  <si>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</si>
  <si>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</si>
  <si>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</si>
  <si>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</si>
  <si>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</si>
  <si>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</si>
  <si>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</si>
  <si>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</si>
  <si>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</si>
  <si>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</si>
  <si>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</si>
  <si>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</si>
  <si>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</si>
  <si>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</si>
  <si>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</si>
  <si>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</si>
  <si>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</si>
  <si>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</si>
  <si>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</si>
  <si>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</si>
  <si>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</si>
  <si>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</si>
  <si>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</si>
  <si>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</si>
  <si>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</si>
  <si>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</si>
  <si>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</si>
  <si>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</si>
  <si>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</si>
  <si>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</si>
  <si>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</si>
  <si>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</si>
  <si>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</si>
  <si>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</si>
  <si>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</si>
  <si>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</si>
  <si>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</si>
  <si>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</si>
  <si>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</si>
  <si>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</si>
  <si>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</si>
  <si>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</si>
  <si>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</si>
  <si>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</si>
  <si>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</si>
  <si>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</si>
  <si>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</si>
  <si>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</si>
  <si>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</si>
  <si>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</si>
  <si>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</si>
  <si>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</si>
  <si>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</si>
  <si>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</si>
  <si>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</si>
  <si>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</si>
  <si>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</si>
  <si>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</si>
  <si>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</si>
  <si>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</si>
  <si>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</si>
  <si>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</si>
  <si>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</si>
  <si>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</si>
  <si>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</si>
  <si>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</si>
  <si>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</si>
  <si>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</si>
  <si>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</si>
  <si>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</si>
  <si>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</si>
  <si>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</si>
  <si>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</si>
  <si>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</si>
  <si>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</si>
  <si>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</si>
  <si>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</si>
  <si>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</si>
  <si>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</si>
  <si>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</si>
  <si>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</si>
  <si>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</si>
  <si>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</si>
  <si>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</si>
  <si>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</si>
  <si>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</si>
  <si>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</si>
  <si>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</si>
  <si>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</si>
  <si>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</si>
  <si>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</si>
  <si>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</si>
  <si>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</si>
  <si>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</si>
  <si>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</si>
  <si>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</si>
  <si>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</si>
  <si>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</si>
  <si>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</si>
  <si>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</si>
  <si>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</si>
  <si>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</si>
  <si>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</si>
  <si>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</si>
  <si>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</si>
  <si>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</si>
  <si>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</si>
  <si>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</si>
  <si>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</si>
  <si>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</si>
  <si>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</si>
  <si>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</si>
  <si>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</si>
  <si>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</si>
  <si>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</si>
  <si>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</si>
  <si>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</si>
  <si>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</si>
  <si>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</si>
  <si>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</si>
  <si>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</si>
  <si>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</si>
  <si>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</si>
  <si>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</si>
  <si>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</si>
  <si>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</si>
  <si>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</si>
  <si>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</si>
  <si>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</si>
  <si>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</si>
  <si>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</si>
  <si>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</si>
  <si>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</si>
  <si>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</si>
  <si>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</si>
  <si>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</si>
  <si>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</si>
  <si>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</si>
  <si>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</si>
  <si>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</si>
  <si>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</si>
  <si>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</si>
  <si>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</si>
  <si>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</si>
  <si>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</si>
  <si>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</si>
  <si>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</si>
  <si>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</si>
  <si>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</si>
  <si>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</si>
  <si>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</si>
  <si>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</si>
  <si>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</si>
  <si>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</si>
  <si>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</si>
  <si>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</si>
  <si>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</si>
  <si>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</si>
  <si>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</si>
  <si>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</si>
  <si>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</si>
  <si>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</si>
  <si>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</si>
  <si>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</si>
  <si>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</si>
  <si>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</si>
  <si>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</si>
  <si>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</si>
  <si>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</si>
  <si>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</si>
  <si>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</si>
  <si>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</si>
  <si>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</si>
  <si>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</si>
  <si>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</si>
  <si>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</si>
  <si>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</si>
  <si>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</si>
  <si>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</si>
  <si>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</si>
  <si>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</si>
  <si>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</si>
  <si>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</si>
  <si>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</si>
  <si>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</si>
  <si>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</si>
  <si>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</si>
  <si>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</si>
  <si>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</si>
  <si>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</si>
  <si>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</si>
  <si>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</si>
  <si>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</si>
  <si>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</si>
  <si>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</si>
  <si>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</si>
  <si>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</si>
  <si>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</si>
  <si>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</si>
  <si>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</si>
  <si>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</si>
  <si>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</si>
  <si>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</si>
  <si>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</si>
  <si>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</si>
  <si>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</si>
  <si>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</si>
  <si>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</si>
  <si>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</si>
  <si>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</si>
  <si>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</si>
  <si>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</si>
  <si>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</si>
  <si>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</si>
  <si>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</si>
  <si>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</si>
  <si>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</si>
  <si>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</si>
  <si>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</si>
  <si>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</si>
  <si>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</si>
  <si>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</si>
  <si>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</si>
  <si>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</si>
  <si>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</si>
  <si>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</si>
  <si>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</si>
  <si>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</si>
  <si>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</si>
  <si>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</si>
  <si>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</si>
  <si>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</si>
  <si>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</si>
  <si>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</si>
  <si>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</si>
  <si>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</si>
  <si>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</si>
  <si>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</si>
  <si>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</si>
  <si>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</si>
  <si>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</si>
  <si>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</si>
  <si>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</si>
  <si>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</si>
  <si>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</si>
  <si>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</si>
  <si>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</si>
  <si>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</si>
  <si>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</si>
  <si>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</si>
  <si>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</si>
  <si>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</si>
  <si>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</si>
  <si>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</si>
  <si>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</si>
  <si>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</si>
  <si>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</si>
  <si>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</si>
  <si>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</si>
  <si>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</si>
  <si>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</si>
  <si>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</si>
  <si>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</si>
  <si>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</si>
  <si>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</si>
  <si>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</si>
  <si>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</si>
  <si>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</si>
  <si>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</si>
  <si>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</si>
  <si>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</si>
  <si>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</si>
  <si>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</si>
  <si>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</si>
  <si>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</si>
  <si>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</si>
  <si>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</si>
  <si>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</si>
  <si>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</si>
  <si>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</si>
  <si>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</si>
  <si>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</si>
  <si>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</si>
  <si>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</si>
  <si>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</si>
  <si>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</si>
  <si>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</si>
  <si>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</si>
  <si>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</si>
  <si>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</si>
  <si>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</si>
  <si>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</si>
  <si>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</si>
  <si>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</si>
  <si>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</si>
  <si>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</si>
  <si>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</si>
  <si>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</si>
  <si>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</si>
  <si>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</si>
  <si>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</si>
  <si>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</si>
  <si>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</si>
  <si>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</si>
  <si>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</si>
  <si>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</si>
  <si>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</si>
  <si>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</si>
  <si>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</si>
  <si>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</si>
  <si>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</si>
  <si>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</si>
  <si>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</si>
  <si>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</si>
  <si>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</si>
  <si>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</si>
  <si>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</si>
  <si>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</si>
  <si>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</si>
  <si>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</si>
  <si>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</si>
  <si>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</si>
  <si>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</si>
  <si>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</si>
  <si>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</si>
  <si>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</si>
  <si>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</si>
  <si>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</si>
  <si>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</si>
  <si>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</si>
  <si>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</si>
  <si>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</si>
  <si>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</si>
  <si>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</si>
  <si>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</si>
  <si>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</si>
  <si>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</si>
  <si>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</si>
  <si>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</si>
  <si>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</si>
  <si>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</si>
  <si>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</si>
  <si>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</si>
  <si>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</si>
  <si>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</si>
  <si>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</si>
  <si>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</si>
  <si>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</si>
  <si>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</si>
  <si>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</si>
  <si>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</si>
  <si>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</si>
  <si>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</si>
  <si>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</si>
  <si>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</si>
  <si>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</si>
  <si>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</si>
  <si>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</si>
  <si>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</si>
  <si>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</si>
  <si>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</si>
  <si>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</si>
  <si>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</si>
  <si>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</si>
  <si>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</si>
  <si>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</si>
  <si>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</si>
  <si>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</si>
  <si>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</si>
  <si>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</si>
  <si>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</si>
  <si>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</si>
  <si>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</si>
  <si>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</si>
  <si>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</si>
  <si>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</si>
  <si>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</si>
  <si>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</si>
  <si>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</si>
  <si>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</si>
  <si>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</si>
  <si>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</si>
  <si>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</si>
  <si>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</si>
  <si>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</si>
  <si>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</si>
  <si>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</si>
  <si>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</si>
  <si>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</si>
  <si>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</si>
  <si>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</si>
  <si>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</si>
  <si>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</si>
  <si>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</si>
  <si>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</si>
  <si>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</si>
  <si>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</si>
  <si>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</si>
  <si>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</si>
  <si>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</si>
  <si>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</si>
  <si>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</si>
  <si>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</si>
  <si>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</si>
  <si>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</si>
  <si>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</si>
  <si>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</si>
  <si>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</si>
  <si>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</si>
  <si>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</si>
  <si>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</si>
  <si>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</si>
  <si>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</si>
  <si>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</si>
  <si>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</si>
  <si>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</si>
  <si>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</si>
  <si>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</si>
  <si>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</si>
  <si>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</si>
  <si>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</si>
  <si>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</si>
  <si>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</si>
  <si>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</si>
  <si>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</si>
  <si>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</si>
  <si>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</si>
  <si>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</si>
  <si>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</si>
  <si>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</si>
  <si>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</si>
  <si>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</si>
  <si>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</si>
  <si>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</si>
  <si>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</si>
  <si>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</si>
  <si>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</si>
  <si>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</si>
  <si>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</si>
  <si>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</si>
  <si>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</si>
  <si>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</si>
  <si>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</si>
  <si>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</si>
  <si>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</si>
  <si>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</si>
  <si>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</si>
  <si>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</si>
  <si>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</si>
  <si>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</si>
  <si>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</si>
  <si>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</si>
  <si>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</si>
  <si>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</si>
  <si>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</si>
  <si>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</si>
  <si>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</si>
  <si>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</si>
  <si>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</si>
  <si>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</si>
  <si>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</si>
  <si>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</si>
  <si>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</si>
  <si>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</si>
  <si>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</si>
  <si>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</si>
  <si>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</si>
  <si>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</si>
  <si>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</si>
  <si>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</si>
  <si>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</si>
  <si>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</si>
  <si>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</si>
  <si>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</si>
  <si>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</si>
  <si>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</si>
  <si>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</si>
  <si>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</si>
  <si>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</si>
  <si>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</si>
  <si>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</si>
  <si>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</si>
  <si>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</si>
  <si>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</si>
  <si>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</si>
  <si>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</si>
  <si>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</si>
  <si>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</si>
  <si>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</si>
  <si>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</si>
  <si>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</si>
  <si>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</si>
  <si>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</si>
  <si>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</si>
  <si>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</si>
  <si>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</si>
  <si>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</si>
  <si>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</si>
  <si>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</si>
  <si>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</si>
  <si>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</si>
  <si>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</si>
  <si>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</si>
  <si>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</si>
  <si>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</si>
  <si>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</si>
  <si>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</si>
  <si>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</si>
  <si>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</si>
  <si>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</si>
  <si>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</si>
  <si>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</si>
  <si>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</si>
  <si>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</si>
  <si>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</si>
  <si>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</si>
  <si>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</si>
  <si>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</si>
  <si>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</si>
  <si>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</si>
  <si>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</si>
  <si>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</si>
  <si>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</si>
  <si>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</si>
  <si>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</si>
  <si>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</si>
  <si>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</si>
  <si>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</si>
  <si>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</si>
  <si>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</si>
  <si>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</si>
  <si>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</si>
  <si>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</si>
  <si>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</si>
  <si>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</si>
  <si>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</si>
  <si>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</si>
  <si>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</si>
  <si>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</si>
  <si>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</si>
  <si>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</si>
  <si>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</si>
  <si>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</si>
  <si>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</si>
  <si>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</si>
  <si>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</si>
  <si>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</si>
  <si>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</si>
  <si>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</si>
  <si>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</si>
  <si>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</si>
  <si>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</si>
  <si>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</si>
  <si>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</si>
  <si>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</si>
  <si>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</si>
  <si>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</si>
  <si>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</si>
  <si>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</si>
  <si>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</si>
  <si>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</si>
  <si>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</si>
  <si>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</si>
  <si>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</si>
  <si>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</si>
  <si>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</si>
  <si>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</si>
  <si>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</si>
  <si>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</si>
  <si>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</si>
  <si>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</si>
  <si>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</si>
  <si>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</si>
  <si>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</si>
  <si>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</si>
  <si>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</si>
  <si>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</si>
  <si>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</si>
  <si>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</si>
  <si>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</si>
  <si>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</si>
  <si>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</si>
  <si>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</si>
  <si>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</si>
  <si>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</si>
  <si>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</si>
  <si>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</si>
  <si>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</si>
  <si>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</si>
  <si>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</si>
  <si>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</si>
  <si>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</si>
  <si>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</si>
  <si>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</si>
  <si>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</si>
  <si>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</si>
  <si>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</si>
  <si>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</si>
  <si>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</si>
  <si>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</si>
  <si>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</si>
  <si>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</si>
  <si>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</si>
  <si>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</si>
  <si>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</si>
  <si>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</si>
  <si>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</si>
  <si>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</si>
  <si>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</si>
  <si>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</si>
  <si>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</si>
  <si>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</si>
  <si>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</si>
  <si>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</si>
  <si>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</si>
  <si>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</si>
  <si>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</si>
  <si>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</si>
  <si>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</si>
  <si>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</si>
  <si>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</si>
  <si>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</si>
  <si>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</si>
  <si>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</si>
  <si>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</si>
  <si>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</si>
  <si>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</si>
  <si>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</si>
  <si>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</si>
  <si>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</si>
  <si>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</si>
  <si>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</si>
  <si>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</si>
  <si>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</si>
  <si>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</si>
  <si>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</si>
  <si>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</si>
  <si>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</si>
  <si>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</si>
  <si>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</si>
  <si>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</si>
  <si>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</si>
  <si>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</si>
  <si>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</si>
  <si>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</si>
  <si>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</si>
  <si>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</si>
  <si>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</si>
  <si>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</si>
  <si>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</si>
  <si>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</si>
  <si>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</si>
  <si>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</si>
  <si>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</si>
  <si>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</si>
  <si>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</si>
  <si>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</si>
  <si>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</si>
  <si>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</si>
  <si>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</si>
  <si>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</si>
  <si>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</si>
  <si>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</si>
  <si>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</si>
  <si>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</si>
  <si>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</si>
  <si>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</si>
  <si>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</si>
  <si>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</si>
  <si>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</si>
  <si>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</si>
  <si>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</si>
  <si>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</si>
  <si>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</si>
  <si>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</si>
  <si>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</si>
  <si>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</si>
  <si>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</si>
  <si>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</si>
  <si>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</si>
  <si>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</si>
  <si>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</si>
  <si>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</si>
  <si>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</si>
  <si>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</si>
  <si>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</si>
  <si>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</si>
  <si>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</si>
  <si>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</si>
  <si>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</si>
  <si>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</si>
  <si>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</si>
  <si>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</si>
  <si>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</si>
  <si>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</si>
  <si>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</si>
  <si>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</si>
  <si>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</si>
  <si>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</si>
  <si>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</si>
  <si>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</si>
  <si>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</si>
  <si>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</si>
  <si>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</si>
  <si>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</si>
  <si>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</si>
  <si>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</si>
  <si>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</si>
  <si>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</si>
  <si>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</si>
  <si>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</si>
  <si>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</si>
  <si>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</si>
  <si>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</si>
  <si>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</si>
  <si>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</si>
  <si>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</si>
  <si>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</si>
  <si>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</si>
  <si>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</si>
  <si>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</si>
  <si>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</si>
  <si>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</si>
  <si>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</si>
  <si>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</si>
  <si>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</si>
  <si>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</si>
  <si>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</si>
  <si>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</si>
  <si>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</si>
  <si>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</si>
  <si>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</si>
  <si>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</si>
  <si>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</si>
  <si>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</si>
  <si>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</si>
  <si>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</si>
  <si>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</si>
  <si>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</si>
  <si>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</si>
  <si>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</si>
  <si>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</si>
  <si>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</si>
  <si>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</si>
  <si>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</si>
  <si>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</si>
  <si>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</si>
  <si>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</si>
  <si>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</si>
  <si>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</si>
  <si>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</si>
  <si>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</si>
  <si>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</si>
  <si>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</si>
  <si>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</si>
  <si>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</si>
  <si>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</si>
  <si>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</si>
  <si>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</si>
  <si>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</si>
  <si>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</si>
  <si>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</si>
  <si>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</si>
  <si>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</si>
  <si>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</si>
  <si>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</si>
  <si>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</si>
  <si>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</si>
  <si>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</si>
  <si>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</si>
  <si>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</si>
  <si>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</si>
  <si>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</si>
  <si>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</si>
  <si>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</si>
  <si>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</si>
  <si>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</si>
  <si>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</si>
  <si>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</si>
  <si>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</si>
  <si>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</si>
  <si>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</si>
  <si>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</si>
  <si>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</si>
  <si>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</si>
  <si>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</si>
  <si>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</si>
  <si>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</si>
  <si>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</si>
  <si>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</si>
  <si>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</si>
  <si>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</si>
  <si>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</si>
  <si>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</si>
  <si>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</si>
  <si>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</si>
  <si>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</si>
  <si>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</si>
  <si>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</si>
  <si>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</si>
  <si>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</si>
  <si>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</si>
  <si>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</si>
  <si>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</si>
  <si>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</si>
  <si>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</si>
  <si>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</si>
  <si>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</si>
  <si>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</si>
  <si>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</si>
  <si>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</si>
  <si>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</si>
  <si>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</si>
  <si>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</si>
  <si>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</si>
  <si>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</si>
  <si>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</si>
  <si>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</si>
  <si>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</si>
  <si>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</si>
  <si>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</si>
  <si>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</si>
  <si>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</si>
  <si>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</si>
  <si>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</si>
  <si>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</si>
  <si>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</si>
  <si>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</si>
  <si>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</si>
  <si>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</si>
  <si>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</si>
  <si>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</si>
  <si>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</si>
  <si>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</si>
  <si>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</si>
  <si>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</si>
  <si>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</si>
  <si>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</si>
  <si>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</si>
  <si>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</si>
  <si>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</si>
  <si>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</si>
  <si>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</si>
  <si>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</si>
  <si>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</si>
  <si>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</si>
  <si>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</si>
  <si>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</si>
  <si>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</si>
  <si>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</si>
  <si>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</si>
  <si>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</si>
  <si>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</si>
  <si>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</si>
  <si>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</si>
  <si>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</si>
  <si>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</si>
  <si>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</si>
  <si>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</si>
  <si>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</si>
  <si>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</si>
  <si>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</si>
  <si>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</si>
  <si>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</si>
  <si>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</si>
  <si>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</si>
  <si>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</si>
  <si>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</si>
  <si>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</si>
  <si>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</si>
  <si>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</si>
  <si>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</si>
  <si>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</si>
  <si>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</si>
  <si>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</si>
  <si>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</si>
  <si>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</si>
  <si>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</si>
  <si>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</si>
  <si>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</si>
  <si>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</si>
  <si>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</si>
  <si>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</si>
  <si>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</si>
  <si>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</si>
  <si>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</si>
  <si>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</si>
  <si>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</si>
  <si>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</si>
  <si>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</si>
  <si>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</si>
  <si>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</si>
  <si>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</si>
  <si>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</si>
  <si>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</si>
  <si>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</si>
  <si>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</si>
  <si>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</si>
  <si>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</si>
  <si>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</si>
  <si>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</si>
  <si>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</si>
  <si>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</si>
  <si>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</si>
  <si>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</si>
  <si>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</si>
  <si>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</si>
  <si>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</si>
  <si>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</si>
  <si>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</si>
  <si>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</si>
  <si>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</si>
  <si>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</si>
  <si>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</si>
  <si>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</si>
  <si>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</si>
  <si>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</si>
  <si>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</si>
  <si>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</si>
  <si>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</si>
  <si>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</si>
  <si>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</si>
  <si>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</si>
  <si>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</si>
  <si>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</si>
  <si>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</si>
  <si>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</si>
  <si>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</si>
  <si>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</si>
  <si>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</si>
  <si>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</si>
  <si>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</si>
  <si>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</si>
  <si>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</si>
  <si>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</si>
  <si>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</si>
  <si>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</si>
  <si>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</si>
  <si>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</si>
  <si>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</si>
  <si>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</si>
  <si>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</si>
  <si>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</si>
  <si>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</si>
  <si>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</si>
  <si>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</si>
  <si>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</si>
  <si>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</si>
  <si>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</si>
  <si>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</si>
  <si>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</si>
  <si>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</si>
  <si>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</si>
  <si>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</si>
  <si>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</si>
  <si>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</si>
  <si>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</si>
  <si>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</si>
  <si>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</si>
  <si>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</si>
  <si>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</si>
  <si>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</si>
  <si>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</si>
  <si>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</si>
  <si>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</si>
  <si>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</si>
  <si>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</si>
  <si>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</si>
  <si>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</si>
  <si>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</si>
  <si>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</si>
  <si>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</si>
  <si>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</si>
  <si>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</si>
  <si>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</si>
  <si>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</si>
  <si>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</si>
  <si>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</si>
  <si>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</si>
  <si>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</si>
  <si>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</si>
  <si>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</si>
  <si>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</si>
  <si>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</si>
  <si>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</si>
  <si>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</si>
  <si>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</si>
  <si>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</si>
  <si>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</si>
  <si>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</si>
  <si>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</si>
  <si>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</si>
  <si>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</si>
  <si>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</si>
  <si>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</si>
  <si>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</si>
  <si>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</si>
  <si>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</si>
  <si>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</si>
  <si>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</si>
  <si>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</si>
  <si>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</si>
  <si>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</si>
  <si>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</si>
  <si>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</si>
  <si>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</si>
  <si>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</si>
  <si>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</si>
  <si>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</si>
  <si>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</si>
  <si>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</si>
  <si>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</si>
  <si>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</si>
  <si>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</si>
  <si>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</si>
  <si>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</si>
  <si>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</si>
  <si>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</si>
  <si>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</si>
  <si>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</si>
  <si>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</si>
  <si>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</si>
  <si>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</si>
  <si>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</si>
  <si>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</si>
  <si>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</si>
  <si>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</si>
  <si>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</si>
  <si>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</si>
  <si>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</si>
  <si>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</si>
  <si>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</si>
  <si>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</si>
  <si>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</si>
  <si>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</si>
  <si>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</si>
  <si>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</si>
  <si>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</si>
  <si>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</si>
  <si>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</si>
  <si>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</si>
  <si>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</si>
  <si>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</si>
  <si>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</si>
  <si>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</si>
  <si>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</si>
  <si>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</si>
  <si>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</si>
  <si>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</si>
  <si>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</si>
  <si>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</si>
  <si>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</si>
  <si>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</si>
  <si>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</si>
  <si>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</si>
  <si>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</si>
  <si>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</si>
  <si>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</si>
  <si>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</si>
  <si>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</si>
  <si>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</si>
  <si>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</si>
  <si>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</si>
  <si>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</si>
  <si>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</si>
  <si>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</si>
  <si>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</si>
  <si>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</si>
  <si>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</si>
  <si>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</si>
  <si>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</si>
  <si>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</si>
  <si>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</si>
  <si>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</si>
  <si>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</si>
  <si>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</si>
  <si>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</si>
  <si>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</si>
  <si>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</si>
  <si>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</si>
  <si>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</si>
  <si>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</si>
  <si>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</si>
  <si>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</si>
  <si>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</si>
  <si>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</si>
  <si>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</si>
  <si>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</si>
  <si>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</si>
  <si>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</si>
  <si>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</si>
  <si>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</si>
  <si>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</si>
  <si>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</si>
  <si>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</si>
  <si>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</si>
  <si>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</si>
  <si>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</si>
  <si>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</si>
  <si>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</si>
  <si>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</si>
  <si>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</si>
  <si>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</si>
  <si>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</si>
  <si>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</si>
  <si>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</si>
  <si>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</si>
  <si>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</si>
  <si>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</si>
  <si>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</si>
  <si>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</si>
  <si>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</si>
  <si>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</si>
  <si>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</si>
  <si>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</si>
  <si>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</si>
  <si>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</si>
  <si>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</si>
  <si>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</si>
  <si>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</si>
  <si>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</si>
  <si>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</si>
  <si>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</si>
  <si>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</si>
  <si>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</si>
  <si>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</si>
  <si>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</si>
  <si>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</si>
  <si>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</si>
  <si>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</si>
  <si>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</si>
  <si>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</si>
  <si>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</si>
  <si>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</si>
  <si>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</si>
  <si>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</si>
  <si>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</si>
  <si>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</si>
  <si>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</si>
  <si>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</si>
  <si>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</si>
  <si>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</si>
  <si>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</si>
  <si>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</si>
  <si>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</si>
  <si>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</si>
  <si>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</si>
  <si>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</si>
  <si>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</si>
  <si>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</si>
  <si>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</si>
  <si>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</si>
  <si>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</si>
  <si>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</si>
  <si>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</si>
  <si>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</si>
  <si>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</si>
  <si>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</si>
  <si>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</si>
  <si>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</si>
  <si>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</si>
  <si>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</si>
  <si>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</si>
  <si>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</si>
  <si>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</si>
  <si>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</si>
  <si>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</si>
  <si>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</si>
  <si>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</si>
  <si>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</si>
  <si>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</si>
  <si>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</si>
  <si>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</si>
  <si>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</si>
  <si>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</si>
  <si>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</si>
  <si>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</si>
  <si>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</si>
  <si>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</si>
  <si>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</si>
  <si>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</si>
  <si>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</si>
  <si>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</si>
  <si>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</si>
  <si>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</si>
  <si>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</si>
  <si>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</si>
  <si>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</si>
  <si>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</si>
  <si>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</si>
  <si>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</si>
  <si>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</si>
  <si>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</si>
  <si>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</si>
  <si>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</si>
  <si>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</si>
  <si>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</si>
  <si>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</si>
  <si>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</si>
  <si>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</si>
  <si>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</si>
  <si>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</si>
  <si>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</si>
  <si>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</si>
  <si>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</si>
  <si>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</si>
  <si>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</si>
  <si>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</si>
  <si>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</si>
  <si>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</si>
  <si>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</si>
  <si>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</si>
  <si>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</si>
  <si>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</si>
  <si>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</si>
  <si>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</si>
  <si>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</si>
  <si>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</si>
  <si>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</si>
  <si>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</si>
  <si>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</si>
  <si>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</si>
  <si>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</si>
  <si>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</si>
  <si>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</si>
  <si>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</si>
  <si>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</si>
  <si>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</si>
  <si>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</si>
  <si>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</si>
  <si>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</si>
  <si>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</si>
  <si>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</si>
  <si>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</si>
  <si>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</si>
  <si>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</si>
  <si>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</si>
  <si>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</si>
  <si>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</si>
  <si>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</si>
  <si>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</si>
  <si>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</si>
  <si>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</si>
  <si>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</si>
  <si>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</si>
  <si>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</si>
  <si>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</si>
  <si>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</si>
  <si>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</si>
  <si>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</si>
  <si>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</si>
  <si>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</si>
  <si>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</si>
  <si>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</si>
  <si>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</si>
  <si>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</si>
  <si>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</si>
  <si>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</si>
  <si>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</si>
  <si>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</si>
  <si>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</si>
  <si>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</si>
  <si>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</si>
  <si>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</si>
  <si>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</si>
  <si>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</si>
  <si>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</si>
  <si>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</si>
  <si>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</si>
  <si>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</si>
  <si>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</si>
  <si>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</si>
  <si>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</si>
  <si>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</si>
  <si>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</si>
  <si>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</si>
  <si>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</si>
  <si>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</si>
  <si>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</si>
  <si>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</si>
  <si>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</si>
  <si>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</si>
  <si>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</si>
  <si>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</si>
  <si>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</si>
  <si>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</si>
  <si>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</si>
  <si>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</si>
  <si>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</si>
  <si>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</si>
  <si>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</si>
  <si>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</si>
  <si>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</si>
  <si>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</si>
  <si>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</si>
  <si>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</si>
  <si>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</si>
  <si>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</si>
  <si>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</si>
  <si>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</si>
  <si>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</si>
  <si>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</si>
  <si>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</si>
  <si>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</si>
  <si>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</si>
  <si>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</si>
  <si>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</si>
  <si>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</si>
  <si>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</si>
  <si>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</si>
  <si>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</si>
  <si>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</si>
  <si>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</si>
  <si>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</si>
  <si>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</si>
  <si>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</si>
  <si>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</si>
  <si>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</si>
  <si>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</si>
  <si>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</si>
  <si>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</si>
  <si>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</si>
  <si>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</si>
  <si>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</si>
  <si>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</si>
  <si>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</si>
  <si>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</si>
  <si>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</si>
  <si>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</si>
  <si>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</si>
  <si>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</si>
  <si>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</si>
  <si>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</si>
  <si>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</si>
  <si>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</si>
  <si>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</si>
  <si>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</si>
  <si>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</si>
  <si>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</si>
  <si>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</si>
  <si>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</si>
  <si>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</si>
  <si>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</si>
  <si>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</si>
  <si>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</si>
  <si>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</si>
  <si>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</si>
  <si>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</si>
  <si>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</si>
  <si>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</si>
  <si>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</si>
  <si>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</si>
  <si>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</si>
  <si>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</si>
  <si>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</si>
  <si>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</si>
  <si>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</si>
  <si>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</si>
  <si>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</si>
  <si>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</si>
  <si>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</si>
  <si>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</si>
  <si>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</si>
  <si>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</si>
  <si>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</si>
  <si>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</si>
  <si>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</si>
  <si>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</si>
  <si>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</si>
  <si>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</si>
  <si>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</si>
  <si>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</si>
  <si>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</si>
  <si>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</si>
  <si>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</si>
  <si>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</si>
  <si>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</si>
  <si>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</si>
  <si>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</si>
  <si>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</si>
  <si>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</si>
  <si>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</si>
  <si>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</si>
  <si>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</si>
  <si>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</si>
  <si>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</si>
  <si>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</si>
  <si>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</si>
  <si>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</si>
  <si>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</si>
  <si>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</si>
  <si>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</si>
  <si>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</si>
  <si>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</si>
  <si>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</si>
  <si>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</si>
  <si>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</si>
  <si>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</si>
  <si>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</si>
  <si>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</si>
  <si>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</si>
  <si>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</si>
  <si>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</si>
  <si>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</si>
  <si>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</si>
  <si>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</si>
  <si>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</si>
  <si>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</si>
  <si>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</si>
  <si>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</si>
  <si>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</si>
  <si>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</si>
  <si>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</si>
  <si>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</si>
  <si>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</si>
  <si>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</si>
  <si>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</si>
  <si>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</si>
  <si>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</si>
  <si>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</si>
  <si>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</si>
  <si>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</si>
  <si>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</si>
  <si>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</si>
  <si>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</si>
  <si>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</si>
  <si>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</si>
  <si>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</si>
  <si>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</si>
  <si>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</si>
  <si>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</si>
  <si>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</si>
  <si>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</si>
  <si>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</si>
  <si>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</si>
  <si>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</si>
  <si>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</si>
  <si>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</si>
  <si>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</si>
  <si>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</si>
  <si>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</si>
  <si>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</si>
  <si>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</si>
  <si>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</si>
  <si>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</si>
  <si>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</si>
  <si>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</si>
  <si>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</si>
  <si>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</si>
  <si>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</si>
  <si>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</si>
  <si>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</si>
  <si>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</si>
  <si>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</si>
  <si>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</si>
  <si>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</si>
  <si>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</si>
  <si>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</si>
  <si>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</si>
  <si>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</si>
  <si>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</si>
  <si>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</si>
  <si>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</si>
  <si>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</si>
  <si>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</si>
  <si>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</si>
  <si>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</si>
  <si>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</si>
  <si>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</si>
  <si>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</si>
  <si>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</si>
  <si>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</si>
  <si>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</si>
  <si>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</si>
  <si>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</si>
  <si>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</si>
  <si>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</si>
  <si>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</si>
  <si>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</si>
  <si>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</si>
  <si>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</si>
  <si>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</si>
  <si>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</si>
  <si>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</si>
  <si>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</si>
  <si>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</si>
  <si>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</si>
  <si>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</si>
  <si>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</si>
  <si>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</si>
  <si>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</si>
  <si>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</si>
  <si>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</si>
  <si>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</si>
  <si>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</si>
  <si>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</si>
  <si>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</si>
  <si>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</si>
  <si>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</si>
  <si>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</si>
  <si>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</si>
  <si>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</si>
  <si>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</si>
  <si>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</si>
  <si>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</si>
  <si>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</si>
  <si>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</si>
  <si>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</si>
  <si>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</si>
  <si>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</si>
  <si>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</si>
  <si>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</si>
  <si>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</si>
  <si>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</si>
  <si>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</si>
  <si>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</si>
  <si>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</si>
  <si>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</si>
  <si>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</si>
  <si>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</si>
  <si>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</si>
  <si>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</si>
  <si>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</si>
  <si>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</si>
  <si>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</si>
  <si>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</si>
  <si>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</si>
  <si>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</si>
  <si>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</si>
  <si>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</si>
  <si>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</si>
  <si>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</si>
  <si>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</si>
  <si>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</si>
  <si>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</si>
  <si>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</si>
  <si>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</si>
  <si>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</si>
  <si>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</si>
  <si>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</si>
  <si>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</si>
  <si>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</si>
  <si>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</si>
  <si>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</si>
  <si>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</si>
  <si>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</si>
  <si>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</si>
  <si>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</si>
  <si>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</si>
  <si>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</si>
  <si>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</si>
  <si>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</si>
  <si>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</si>
  <si>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</si>
  <si>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</si>
  <si>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</si>
  <si>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</si>
  <si>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</si>
  <si>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</si>
  <si>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</si>
  <si>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</si>
  <si>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</si>
  <si>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</si>
  <si>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</si>
  <si>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</si>
  <si>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</si>
  <si>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</si>
  <si>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</si>
  <si>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</si>
  <si>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</si>
  <si>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</si>
  <si>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</si>
  <si>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</si>
  <si>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</si>
  <si>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</si>
  <si>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</si>
  <si>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</si>
  <si>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</si>
  <si>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</si>
  <si>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</si>
  <si>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</si>
  <si>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</si>
  <si>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</si>
  <si>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</si>
  <si>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</si>
  <si>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</si>
  <si>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</si>
  <si>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</si>
  <si>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</si>
  <si>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</si>
  <si>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</si>
  <si>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</si>
  <si>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</si>
  <si>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</si>
  <si>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</si>
  <si>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</si>
  <si>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</si>
  <si>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</si>
  <si>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</si>
  <si>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</si>
  <si>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</si>
  <si>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</si>
  <si>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</si>
  <si>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</si>
  <si>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</si>
  <si>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</si>
  <si>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</si>
  <si>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</si>
  <si>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</si>
  <si>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</si>
  <si>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</si>
  <si>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</si>
  <si>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</si>
  <si>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</si>
  <si>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</si>
  <si>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</si>
  <si>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</si>
  <si>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</si>
  <si>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</si>
  <si>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</si>
  <si>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</si>
  <si>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</si>
  <si>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</si>
  <si>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</si>
  <si>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</si>
  <si>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</si>
  <si>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</si>
  <si>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</si>
  <si>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</si>
  <si>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</si>
  <si>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</si>
  <si>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</si>
  <si>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</si>
  <si>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</si>
  <si>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</si>
  <si>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</si>
  <si>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</si>
  <si>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</si>
  <si>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</si>
  <si>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</si>
  <si>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</si>
  <si>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</si>
  <si>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</si>
  <si>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</si>
  <si>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</si>
  <si>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</si>
  <si>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</si>
  <si>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</si>
  <si>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</si>
  <si>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</si>
  <si>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</si>
  <si>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</si>
  <si>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</si>
  <si>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</si>
  <si>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</si>
  <si>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</si>
  <si>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</si>
  <si>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</si>
  <si>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</si>
  <si>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</si>
  <si>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</si>
  <si>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</si>
  <si>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</si>
  <si>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</si>
  <si>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</si>
  <si>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</si>
  <si>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</si>
  <si>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</si>
  <si>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</si>
  <si>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</si>
  <si>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</si>
  <si>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</si>
  <si>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</si>
  <si>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</si>
  <si>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</si>
  <si>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</si>
  <si>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</si>
  <si>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</si>
  <si>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</si>
  <si>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</si>
  <si>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</si>
  <si>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</si>
  <si>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</si>
  <si>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</si>
  <si>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</si>
  <si>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</si>
  <si>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</si>
  <si>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</si>
  <si>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</si>
  <si>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</si>
  <si>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</si>
  <si>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</si>
  <si>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</si>
  <si>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</si>
  <si>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</si>
  <si>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</si>
  <si>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</si>
  <si>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</si>
  <si>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</si>
  <si>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</si>
  <si>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</si>
  <si>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</si>
  <si>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</si>
  <si>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</si>
  <si>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</si>
  <si>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</si>
  <si>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</si>
  <si>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</si>
  <si>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</si>
  <si>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</si>
  <si>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</si>
  <si>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</si>
  <si>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</si>
  <si>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</si>
  <si>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</si>
  <si>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</si>
  <si>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</si>
  <si>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</si>
  <si>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</si>
  <si>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</si>
  <si>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</si>
  <si>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</si>
  <si>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</si>
  <si>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</si>
  <si>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</si>
  <si>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</si>
  <si>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</si>
  <si>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</si>
  <si>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</si>
  <si>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</si>
  <si>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</si>
  <si>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</si>
  <si>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</si>
  <si>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</si>
  <si>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</si>
  <si>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</si>
  <si>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</si>
  <si>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</si>
  <si>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</si>
  <si>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</si>
  <si>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</si>
  <si>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</si>
  <si>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</si>
  <si>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</si>
  <si>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</si>
  <si>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</si>
  <si>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</si>
  <si>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</si>
  <si>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</si>
  <si>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</si>
  <si>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</si>
  <si>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</si>
  <si>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</si>
  <si>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</si>
  <si>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</si>
  <si>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</si>
  <si>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</si>
  <si>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</si>
  <si>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</si>
  <si>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</si>
  <si>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</si>
  <si>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</si>
  <si>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</si>
  <si>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</si>
  <si>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</si>
  <si>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</si>
  <si>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</si>
  <si>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</si>
  <si>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</si>
  <si>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</si>
  <si>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</si>
  <si>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</si>
  <si>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</si>
  <si>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</si>
  <si>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</si>
  <si>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</si>
  <si>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</si>
  <si>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</si>
  <si>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</si>
  <si>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</si>
  <si>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</si>
  <si>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</si>
  <si>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</si>
  <si>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</si>
  <si>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</si>
  <si>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</si>
  <si>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</si>
  <si>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</si>
  <si>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</si>
  <si>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</si>
  <si>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</si>
  <si>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</si>
  <si>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</si>
  <si>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</si>
  <si>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</si>
  <si>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</si>
  <si>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</si>
  <si>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</si>
  <si>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</si>
  <si>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</si>
  <si>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</si>
  <si>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</si>
  <si>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</si>
  <si>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</si>
  <si>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</si>
  <si>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</si>
  <si>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</si>
  <si>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</si>
  <si>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</si>
  <si>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</si>
  <si>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</si>
  <si>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</si>
  <si>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</si>
  <si>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</si>
  <si>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</si>
  <si>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</si>
  <si>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</si>
  <si>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</si>
  <si>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</si>
  <si>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</si>
  <si>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</si>
  <si>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</si>
  <si>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</si>
  <si>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</si>
  <si>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</si>
  <si>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</si>
  <si>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</si>
  <si>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</si>
  <si>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</si>
  <si>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</si>
  <si>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</si>
  <si>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</si>
  <si>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</si>
  <si>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</si>
  <si>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</si>
  <si>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</si>
  <si>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</si>
  <si>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</si>
  <si>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</si>
  <si>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</si>
  <si>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</si>
  <si>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</si>
  <si>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</si>
  <si>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</si>
  <si>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</si>
  <si>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</si>
  <si>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</si>
  <si>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</si>
  <si>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</si>
  <si>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</si>
  <si>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</si>
  <si>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</si>
  <si>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</si>
  <si>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</si>
  <si>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</si>
  <si>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</si>
  <si>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</si>
  <si>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</si>
  <si>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</si>
  <si>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</si>
  <si>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</si>
  <si>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</si>
  <si>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</si>
  <si>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</si>
  <si>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</si>
  <si>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</si>
  <si>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</si>
  <si>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</si>
  <si>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</si>
  <si>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</si>
  <si>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</si>
  <si>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</si>
  <si>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</si>
  <si>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</si>
  <si>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</si>
  <si>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</si>
  <si>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</si>
  <si>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</si>
  <si>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</si>
  <si>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</si>
  <si>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</si>
  <si>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</si>
  <si>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</si>
  <si>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</si>
  <si>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</si>
  <si>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</si>
  <si>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</si>
  <si>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</si>
  <si>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</si>
  <si>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</si>
  <si>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</si>
  <si>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</si>
  <si>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</si>
  <si>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</si>
  <si>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</si>
  <si>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</si>
  <si>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</si>
  <si>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</si>
  <si>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</si>
  <si>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</si>
  <si>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</si>
  <si>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</si>
  <si>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</si>
  <si>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</si>
  <si>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</si>
  <si>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</si>
  <si>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</si>
  <si>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</si>
  <si>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</si>
  <si>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</si>
  <si>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</si>
  <si>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</si>
  <si>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</si>
  <si>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</si>
  <si>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</si>
  <si>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</si>
  <si>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</si>
  <si>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</si>
  <si>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</si>
  <si>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</si>
  <si>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</si>
  <si>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</si>
  <si>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</si>
  <si>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</si>
  <si>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</si>
  <si>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</si>
  <si>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</si>
  <si>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</si>
  <si>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</si>
  <si>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</si>
  <si>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</si>
  <si>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</si>
  <si>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</si>
  <si>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</si>
  <si>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</si>
  <si>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</si>
  <si>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</si>
  <si>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</si>
  <si>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</si>
  <si>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</si>
  <si>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</si>
  <si>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</si>
  <si>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</si>
  <si>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</si>
  <si>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</si>
  <si>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</si>
  <si>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</si>
  <si>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</si>
  <si>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</si>
  <si>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</si>
  <si>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</si>
  <si>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</si>
  <si>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</si>
  <si>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</si>
  <si>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</si>
  <si>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</si>
  <si>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</si>
  <si>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</si>
  <si>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</si>
  <si>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</si>
  <si>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</si>
  <si>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</si>
  <si>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</si>
  <si>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</si>
  <si>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</si>
  <si>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</si>
  <si>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</si>
  <si>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</si>
  <si>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</si>
  <si>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</si>
  <si>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</si>
  <si>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</si>
  <si>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</si>
  <si>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</si>
  <si>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</si>
  <si>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</si>
  <si>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</si>
  <si>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</si>
  <si>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</si>
  <si>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</si>
  <si>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</si>
  <si>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</si>
  <si>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</si>
  <si>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</si>
  <si>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</si>
  <si>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</si>
  <si>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</si>
  <si>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</si>
  <si>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</si>
  <si>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</si>
  <si>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</si>
  <si>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</si>
  <si>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</si>
  <si>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</si>
  <si>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</si>
  <si>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</si>
  <si>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</si>
  <si>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</si>
  <si>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</si>
  <si>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</si>
  <si>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</si>
  <si>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</si>
  <si>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</si>
  <si>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</si>
  <si>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</si>
  <si>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</si>
  <si>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</si>
  <si>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</si>
  <si>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</si>
  <si>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</si>
  <si>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</si>
  <si>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</si>
  <si>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</si>
  <si>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</si>
  <si>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</si>
  <si>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</si>
  <si>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</si>
  <si>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</si>
  <si>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</si>
  <si>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</si>
  <si>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</si>
  <si>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</si>
  <si>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</si>
  <si>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</si>
  <si>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</si>
  <si>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</si>
  <si>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</si>
  <si>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</si>
  <si>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</si>
  <si>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</si>
  <si>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</si>
  <si>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</si>
  <si>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</si>
  <si>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</si>
  <si>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</si>
  <si>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</si>
  <si>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</si>
  <si>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</si>
  <si>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</si>
  <si>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</si>
  <si>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</si>
  <si>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</si>
  <si>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</si>
  <si>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</si>
  <si>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</si>
  <si>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</si>
  <si>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</si>
  <si>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</si>
  <si>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</si>
  <si>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</si>
  <si>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</si>
  <si>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</si>
  <si>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</si>
  <si>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</si>
  <si>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</si>
  <si>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</si>
  <si>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</si>
  <si>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</si>
  <si>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</si>
  <si>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</si>
  <si>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</si>
  <si>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</si>
  <si>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</si>
  <si>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</si>
  <si>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</si>
  <si>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</si>
  <si>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</si>
  <si>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</si>
  <si>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</si>
  <si>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</si>
  <si>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</si>
  <si>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</si>
  <si>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</si>
  <si>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</si>
  <si>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</si>
  <si>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</si>
  <si>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</si>
  <si>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</si>
  <si>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</si>
  <si>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</si>
  <si>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</si>
  <si>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</si>
  <si>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</si>
  <si>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</si>
  <si>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</si>
  <si>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</si>
  <si>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</si>
  <si>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</si>
  <si>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</si>
  <si>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</si>
  <si>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</si>
  <si>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</si>
  <si>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</si>
  <si>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</si>
  <si>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</si>
  <si>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</si>
  <si>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</si>
  <si>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</si>
  <si>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</si>
  <si>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</si>
  <si>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</si>
  <si>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</si>
  <si>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</si>
  <si>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</si>
  <si>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</si>
  <si>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</si>
  <si>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</si>
  <si>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</si>
  <si>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</si>
  <si>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</si>
  <si>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</si>
  <si>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</si>
  <si>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</si>
  <si>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</si>
  <si>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</si>
  <si>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</si>
  <si>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</si>
  <si>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</si>
  <si>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</si>
  <si>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</si>
  <si>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</si>
  <si>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</si>
  <si>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</si>
  <si>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</si>
  <si>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</si>
  <si>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</si>
  <si>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</si>
  <si>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</si>
  <si>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</si>
  <si>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</si>
  <si>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</si>
  <si>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</si>
  <si>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</si>
  <si>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</si>
  <si>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</si>
  <si>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</si>
  <si>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</si>
  <si>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</si>
  <si>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</si>
  <si>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</si>
  <si>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</si>
  <si>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</si>
  <si>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</si>
  <si>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</si>
  <si>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</si>
  <si>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</si>
  <si>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</si>
  <si>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</si>
  <si>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</si>
  <si>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</si>
  <si>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</si>
  <si>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</si>
  <si>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</si>
  <si>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</si>
  <si>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</si>
  <si>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</si>
  <si>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</si>
  <si>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</si>
  <si>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</si>
  <si>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</si>
  <si>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</si>
  <si>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</si>
  <si>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</si>
  <si>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</si>
  <si>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</si>
  <si>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</si>
  <si>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</si>
  <si>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</si>
  <si>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</si>
  <si>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</si>
  <si>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</si>
  <si>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</si>
  <si>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</si>
  <si>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</si>
  <si>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</si>
  <si>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</si>
  <si>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</si>
  <si>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</si>
  <si>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</si>
  <si>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</si>
  <si>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</si>
  <si>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</si>
  <si>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</si>
  <si>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</si>
  <si>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</si>
  <si>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</si>
  <si>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</si>
  <si>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</si>
  <si>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</si>
  <si>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</si>
  <si>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</si>
  <si>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</si>
  <si>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</si>
  <si>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</si>
  <si>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</si>
  <si>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</si>
  <si>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</si>
  <si>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</si>
  <si>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</si>
  <si>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</si>
  <si>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</si>
  <si>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</si>
  <si>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</si>
  <si>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</si>
  <si>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</si>
  <si>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</si>
  <si>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</si>
  <si>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</si>
  <si>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</si>
  <si>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</si>
  <si>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</si>
  <si>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</si>
  <si>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</si>
  <si>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</si>
  <si>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</si>
  <si>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</si>
  <si>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</si>
  <si>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</si>
  <si>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</si>
  <si>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</si>
  <si>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</si>
  <si>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</si>
  <si>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</si>
  <si>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</si>
  <si>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</si>
  <si>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</si>
  <si>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</si>
  <si>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</si>
  <si>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</si>
  <si>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</si>
  <si>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</si>
  <si>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</si>
  <si>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</si>
  <si>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</si>
  <si>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</si>
  <si>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</si>
  <si>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</si>
  <si>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</si>
  <si>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</si>
  <si>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</si>
  <si>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</si>
  <si>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</si>
  <si>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</si>
  <si>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</si>
  <si>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</si>
  <si>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</si>
  <si>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</si>
  <si>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</si>
  <si>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</si>
  <si>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</si>
  <si>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</si>
  <si>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</si>
  <si>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</si>
  <si>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</si>
  <si>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</si>
  <si>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</si>
  <si>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</si>
  <si>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</si>
  <si>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</si>
  <si>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</si>
  <si>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</si>
  <si>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</si>
  <si>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</si>
  <si>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</si>
  <si>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</si>
  <si>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</si>
  <si>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</si>
  <si>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</si>
  <si>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</si>
  <si>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</si>
  <si>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</si>
  <si>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</si>
  <si>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</si>
  <si>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</si>
  <si>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</si>
  <si>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</si>
  <si>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</si>
  <si>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</si>
  <si>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</si>
  <si>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</si>
  <si>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</si>
  <si>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</si>
  <si>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</si>
  <si>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</si>
  <si>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</si>
  <si>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</si>
  <si>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</si>
  <si>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</si>
  <si>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</si>
  <si>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</si>
  <si>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</si>
  <si>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</si>
  <si>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</si>
  <si>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</si>
  <si>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</si>
  <si>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</si>
  <si>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</si>
  <si>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</si>
  <si>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</si>
  <si>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</si>
  <si>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</si>
  <si>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</si>
  <si>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</si>
  <si>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</si>
  <si>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</si>
  <si>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</si>
  <si>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</si>
  <si>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</si>
  <si>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</si>
  <si>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</si>
  <si>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</si>
  <si>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</si>
  <si>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</si>
  <si>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</si>
  <si>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</si>
  <si>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</si>
  <si>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</si>
  <si>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</si>
  <si>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</si>
  <si>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</si>
  <si>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</si>
  <si>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</si>
  <si>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</si>
  <si>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</si>
  <si>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</si>
  <si>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</si>
  <si>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</si>
  <si>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</si>
  <si>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</si>
  <si>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</si>
  <si>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</si>
  <si>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</si>
  <si>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</si>
  <si>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</si>
  <si>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</si>
  <si>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</si>
  <si>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</si>
  <si>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</si>
  <si>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</si>
  <si>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</si>
  <si>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</si>
  <si>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</si>
  <si>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</si>
  <si>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</si>
  <si>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</si>
  <si>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</si>
  <si>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</si>
  <si>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</si>
  <si>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</si>
  <si>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</si>
  <si>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</si>
  <si>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</si>
  <si>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</si>
  <si>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</si>
  <si>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</si>
  <si>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</si>
  <si>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</si>
  <si>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</si>
  <si>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</si>
  <si>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</si>
  <si>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</si>
  <si>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</si>
  <si>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</si>
  <si>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</si>
  <si>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</si>
  <si>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</si>
  <si>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</si>
  <si>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</si>
  <si>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</si>
  <si>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</si>
  <si>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</si>
  <si>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</si>
  <si>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</si>
  <si>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</si>
  <si>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</si>
  <si>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</si>
  <si>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</si>
  <si>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</si>
  <si>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</si>
  <si>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</si>
  <si>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</si>
  <si>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</si>
  <si>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</si>
  <si>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</si>
  <si>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</si>
  <si>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</si>
  <si>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</si>
  <si>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</si>
  <si>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</si>
  <si>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</si>
  <si>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</si>
  <si>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</si>
  <si>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</si>
  <si>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</si>
  <si>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</si>
  <si>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</si>
  <si>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</si>
  <si>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</si>
  <si>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</si>
  <si>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</si>
  <si>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</si>
  <si>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</si>
  <si>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</si>
  <si>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</si>
  <si>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</si>
  <si>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</si>
  <si>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</si>
  <si>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</si>
  <si>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</si>
  <si>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</si>
  <si>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</si>
  <si>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</si>
  <si>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</si>
  <si>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</si>
  <si>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</si>
  <si>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</si>
  <si>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</si>
  <si>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</si>
  <si>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</si>
  <si>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</si>
  <si>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</si>
  <si>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</si>
  <si>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</si>
  <si>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</si>
  <si>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</si>
  <si>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</si>
  <si>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</si>
  <si>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</si>
  <si>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</si>
  <si>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</si>
  <si>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</si>
  <si>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</si>
  <si>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</si>
  <si>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</si>
  <si>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</si>
  <si>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</si>
  <si>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</si>
  <si>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</si>
  <si>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</si>
  <si>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</si>
  <si>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</si>
  <si>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</si>
  <si>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</si>
  <si>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</si>
  <si>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</si>
  <si>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</si>
  <si>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</si>
  <si>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</si>
  <si>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</si>
  <si>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</si>
  <si>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</si>
  <si>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</si>
  <si>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</si>
  <si>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</si>
  <si>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</si>
  <si>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</si>
  <si>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</si>
  <si>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</si>
  <si>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</si>
  <si>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</si>
  <si>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</si>
  <si>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</si>
  <si>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</si>
  <si>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</si>
  <si>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</si>
  <si>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</si>
  <si>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</si>
  <si>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</si>
  <si>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</si>
  <si>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</si>
  <si>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</si>
  <si>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</si>
  <si>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</si>
  <si>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</si>
  <si>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</si>
  <si>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</si>
  <si>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</si>
  <si>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</si>
  <si>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</si>
  <si>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</si>
  <si>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</si>
  <si>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</si>
  <si>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</si>
  <si>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</si>
  <si>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</si>
  <si>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</si>
  <si>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</si>
  <si>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</si>
  <si>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</si>
  <si>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</si>
  <si>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</si>
  <si>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</si>
  <si>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</si>
  <si>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</si>
  <si>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</si>
  <si>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</si>
  <si>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</si>
  <si>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</si>
  <si>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</si>
  <si>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</si>
  <si>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</si>
  <si>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</si>
  <si>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</si>
  <si>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</si>
  <si>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</si>
  <si>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</si>
  <si>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</si>
  <si>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</si>
  <si>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</si>
  <si>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</si>
  <si>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</si>
  <si>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</si>
  <si>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</si>
  <si>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</si>
  <si>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</si>
  <si>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</si>
  <si>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</si>
  <si>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</si>
  <si>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</si>
  <si>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</si>
  <si>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</si>
  <si>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</si>
  <si>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</si>
  <si>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</si>
  <si>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</si>
  <si>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</si>
  <si>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</si>
  <si>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</si>
  <si>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</si>
  <si>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</si>
  <si>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</si>
  <si>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</si>
  <si>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</si>
  <si>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</si>
  <si>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</si>
  <si>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</si>
  <si>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</si>
  <si>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</si>
  <si>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</si>
  <si>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</si>
  <si>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</si>
  <si>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</si>
  <si>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</si>
  <si>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</si>
  <si>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</si>
  <si>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</si>
  <si>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</si>
  <si>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</si>
  <si>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</si>
  <si>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</si>
  <si>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</si>
  <si>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</si>
  <si>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</si>
  <si>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</si>
  <si>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</si>
  <si>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</si>
  <si>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</si>
  <si>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</si>
  <si>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</si>
  <si>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</si>
  <si>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</si>
  <si>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</si>
  <si>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</si>
  <si>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</si>
  <si>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</si>
  <si>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</si>
  <si>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</si>
  <si>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</si>
  <si>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</si>
  <si>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</si>
  <si>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</si>
  <si>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</si>
  <si>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</si>
  <si>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</si>
  <si>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</si>
  <si>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</si>
  <si>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</si>
  <si>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</si>
  <si>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</si>
  <si>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</si>
  <si>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</si>
  <si>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</si>
  <si>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</si>
  <si>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</si>
  <si>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</si>
  <si>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</si>
  <si>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</si>
  <si>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</si>
  <si>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</si>
  <si>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</si>
  <si>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</si>
  <si>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</si>
  <si>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</si>
  <si>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</si>
  <si>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</si>
  <si>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</si>
  <si>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</si>
  <si>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</si>
  <si>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</si>
  <si>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</si>
  <si>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</si>
  <si>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</si>
  <si>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</si>
  <si>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</si>
  <si>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</si>
  <si>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</si>
  <si>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</si>
  <si>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</si>
  <si>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</si>
  <si>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</si>
  <si>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</si>
  <si>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</si>
  <si>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</si>
  <si>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</si>
  <si>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</si>
  <si>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</si>
  <si>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</si>
  <si>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</si>
  <si>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</si>
  <si>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</si>
  <si>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</si>
  <si>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</si>
  <si>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</si>
  <si>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</si>
  <si>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</si>
  <si>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</si>
  <si>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</si>
  <si>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</si>
  <si>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</si>
  <si>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</si>
  <si>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</si>
  <si>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</si>
  <si>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</si>
  <si>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</si>
  <si>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</si>
  <si>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</si>
  <si>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</si>
  <si>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</si>
  <si>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</si>
  <si>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</si>
  <si>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</si>
  <si>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</si>
  <si>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</si>
  <si>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</si>
  <si>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</si>
  <si>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</si>
  <si>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</si>
  <si>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</si>
  <si>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</si>
  <si>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</si>
  <si>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</si>
  <si>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</si>
  <si>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</si>
  <si>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</si>
  <si>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</si>
  <si>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</si>
  <si>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</si>
  <si>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</si>
  <si>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</si>
  <si>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</si>
  <si>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</si>
  <si>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</si>
  <si>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</si>
  <si>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</si>
  <si>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</si>
  <si>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</si>
  <si>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</si>
  <si>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</si>
  <si>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</si>
  <si>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</si>
  <si>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</si>
  <si>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</si>
  <si>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</si>
  <si>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</si>
  <si>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</si>
  <si>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</si>
  <si>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</si>
  <si>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</si>
  <si>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</si>
  <si>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</si>
  <si>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</si>
  <si>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</si>
  <si>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</si>
  <si>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</si>
  <si>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</si>
  <si>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</si>
  <si>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</si>
  <si>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</si>
  <si>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</si>
  <si>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</si>
  <si>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</si>
  <si>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</si>
  <si>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</si>
  <si>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</si>
  <si>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</si>
  <si>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</si>
  <si>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</si>
  <si>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</si>
  <si>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</si>
  <si>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</si>
  <si>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</si>
  <si>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</si>
  <si>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</si>
  <si>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</si>
  <si>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</si>
  <si>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</si>
  <si>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</si>
  <si>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</si>
  <si>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</si>
  <si>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</si>
  <si>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</si>
  <si>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</si>
  <si>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</si>
  <si>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</si>
  <si>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</si>
  <si>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</si>
  <si>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</si>
  <si>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</si>
  <si>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</si>
  <si>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</si>
  <si>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</si>
  <si>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</si>
  <si>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</si>
  <si>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</si>
  <si>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</si>
  <si>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</si>
  <si>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</si>
  <si>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</si>
  <si>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</si>
  <si>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</si>
  <si>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</si>
  <si>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</si>
  <si>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</si>
  <si>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</si>
  <si>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</si>
  <si>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</si>
  <si>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</si>
  <si>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</si>
  <si>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</si>
  <si>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</si>
  <si>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</si>
  <si>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</si>
  <si>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</si>
  <si>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</si>
  <si>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</si>
  <si>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</si>
  <si>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</si>
  <si>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</si>
  <si>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</si>
  <si>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</si>
  <si>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</si>
  <si>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</si>
  <si>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</si>
  <si>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</si>
  <si>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</si>
  <si>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</si>
  <si>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</si>
  <si>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</si>
  <si>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</si>
  <si>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</si>
  <si>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</si>
  <si>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</si>
  <si>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</si>
  <si>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</si>
  <si>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</si>
  <si>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</si>
  <si>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</si>
  <si>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</si>
  <si>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</si>
  <si>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</si>
  <si>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</si>
  <si>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</si>
  <si>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</si>
  <si>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</si>
  <si>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</si>
  <si>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</si>
  <si>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</si>
  <si>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</si>
  <si>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</si>
  <si>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</si>
  <si>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</si>
  <si>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</si>
  <si>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</si>
  <si>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</si>
  <si>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</si>
  <si>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</si>
  <si>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</si>
  <si>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</si>
  <si>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</si>
  <si>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</si>
  <si>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</si>
  <si>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</si>
  <si>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</si>
  <si>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</si>
  <si>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</si>
  <si>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</si>
  <si>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</si>
  <si>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</si>
  <si>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</si>
  <si>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</si>
  <si>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</si>
  <si>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</si>
  <si>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</si>
  <si>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</si>
  <si>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</si>
  <si>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</si>
  <si>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</si>
  <si>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</si>
  <si>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</si>
  <si>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</si>
  <si>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</si>
  <si>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</si>
  <si>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</si>
  <si>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</si>
  <si>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</si>
  <si>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</si>
  <si>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</si>
  <si>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</si>
  <si>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</si>
  <si>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</si>
  <si>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</si>
  <si>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</si>
  <si>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</si>
  <si>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</si>
  <si>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</si>
  <si>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</si>
  <si>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</si>
  <si>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</si>
  <si>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</si>
  <si>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</si>
  <si>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</si>
  <si>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</si>
  <si>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</si>
  <si>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</si>
  <si>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</si>
  <si>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</si>
  <si>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</si>
  <si>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</si>
  <si>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</si>
  <si>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</si>
  <si>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</si>
  <si>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</si>
  <si>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</si>
  <si>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</si>
  <si>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</si>
  <si>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</si>
  <si>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</si>
  <si>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</si>
  <si>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</si>
  <si>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</si>
  <si>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</si>
  <si>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</si>
  <si>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</si>
  <si>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</si>
  <si>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</si>
  <si>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</si>
  <si>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</si>
  <si>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</si>
  <si>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</si>
  <si>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</si>
  <si>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</si>
  <si>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</si>
  <si>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</si>
  <si>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</si>
  <si>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</si>
  <si>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</si>
  <si>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</si>
  <si>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</si>
  <si>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</si>
  <si>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</si>
  <si>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</si>
  <si>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</si>
  <si>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</si>
  <si>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</si>
  <si>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</si>
  <si>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</si>
  <si>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</si>
  <si>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</si>
  <si>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</si>
  <si>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</si>
  <si>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</si>
  <si>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</si>
  <si>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</si>
  <si>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</si>
  <si>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</si>
  <si>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</si>
  <si>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</si>
  <si>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</si>
  <si>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</si>
  <si>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</si>
  <si>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</si>
  <si>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</si>
  <si>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</si>
  <si>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</si>
  <si>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</si>
  <si>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</si>
  <si>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</si>
  <si>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</si>
  <si>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</si>
  <si>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</si>
  <si>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</si>
  <si>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</si>
  <si>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</si>
  <si>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</si>
  <si>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</si>
  <si>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</si>
  <si>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</si>
  <si>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</si>
  <si>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</si>
  <si>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</si>
  <si>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</si>
  <si>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</si>
  <si>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</si>
  <si>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</si>
  <si>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</si>
  <si>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</si>
  <si>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</si>
  <si>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</si>
  <si>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</si>
  <si>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</si>
  <si>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</si>
  <si>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</si>
  <si>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</si>
  <si>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</si>
  <si>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</si>
  <si>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</si>
  <si>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</si>
  <si>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</si>
  <si>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</si>
  <si>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</si>
  <si>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</si>
  <si>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</si>
  <si>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</si>
  <si>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</si>
  <si>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</si>
  <si>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</si>
  <si>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</si>
  <si>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</si>
  <si>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</si>
  <si>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</si>
  <si>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</si>
  <si>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</si>
  <si>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</si>
  <si>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</si>
  <si>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</si>
  <si>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</si>
  <si>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</si>
  <si>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</si>
  <si>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</si>
  <si>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</si>
  <si>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</si>
  <si>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</si>
  <si>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</si>
  <si>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</si>
  <si>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</si>
  <si>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</si>
  <si>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</si>
  <si>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</si>
  <si>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</si>
  <si>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</si>
  <si>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</si>
  <si>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</si>
  <si>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</si>
  <si>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</si>
  <si>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</si>
  <si>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</si>
  <si>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</si>
  <si>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</si>
  <si>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</si>
  <si>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</si>
  <si>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</si>
  <si>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</si>
  <si>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</si>
  <si>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</si>
  <si>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</si>
  <si>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</si>
  <si>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</si>
  <si>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</si>
  <si>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</si>
  <si>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</si>
  <si>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</si>
  <si>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</si>
  <si>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</si>
  <si>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</si>
  <si>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</si>
  <si>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</si>
  <si>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</si>
  <si>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</si>
  <si>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</si>
  <si>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</si>
  <si>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</si>
  <si>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</si>
  <si>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</si>
  <si>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</si>
  <si>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</si>
  <si>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</si>
  <si>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</si>
  <si>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</si>
  <si>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</si>
  <si>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</si>
  <si>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</si>
  <si>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</si>
  <si>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</si>
  <si>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</si>
  <si>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</si>
  <si>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</si>
  <si>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</si>
  <si>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</si>
  <si>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</si>
  <si>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</si>
  <si>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</si>
  <si>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</si>
  <si>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</si>
  <si>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</si>
  <si>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</si>
  <si>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</si>
  <si>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</si>
  <si>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</si>
  <si>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</si>
  <si>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</si>
  <si>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</si>
  <si>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</si>
  <si>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</si>
  <si>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</si>
  <si>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</si>
  <si>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</si>
  <si>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</si>
  <si>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</si>
  <si>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</si>
  <si>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</si>
  <si>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</si>
  <si>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</si>
  <si>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</si>
  <si>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</si>
  <si>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</si>
  <si>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</si>
  <si>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</si>
  <si>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</si>
  <si>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</si>
  <si>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</si>
  <si>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</si>
  <si>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</si>
  <si>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</si>
  <si>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</si>
  <si>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</si>
  <si>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</si>
  <si>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</si>
  <si>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</si>
  <si>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</si>
  <si>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</si>
  <si>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</si>
  <si>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</si>
  <si>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</si>
  <si>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</si>
  <si>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</si>
  <si>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</si>
  <si>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</si>
  <si>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</si>
  <si>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</si>
  <si>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</si>
  <si>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</si>
  <si>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</si>
  <si>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</si>
  <si>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</si>
  <si>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</si>
  <si>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</si>
  <si>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</si>
  <si>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</si>
  <si>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</si>
  <si>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</si>
  <si>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</si>
  <si>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</si>
  <si>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</si>
  <si>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</si>
  <si>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</si>
  <si>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</si>
  <si>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</si>
  <si>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</si>
  <si>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</si>
  <si>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</si>
  <si>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</si>
  <si>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</si>
  <si>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</si>
  <si>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</si>
  <si>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</si>
  <si>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</si>
  <si>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</si>
  <si>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</si>
  <si>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</si>
  <si>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</si>
  <si>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</si>
  <si>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</si>
  <si>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</si>
  <si>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</si>
  <si>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</si>
  <si>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</si>
  <si>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</si>
  <si>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</si>
  <si>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</si>
  <si>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</si>
  <si>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</si>
  <si>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</si>
  <si>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</si>
  <si>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</si>
  <si>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</si>
  <si>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</si>
  <si>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</si>
  <si>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</si>
  <si>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</si>
  <si>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</si>
  <si>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</si>
  <si>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</si>
  <si>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</si>
  <si>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</si>
  <si>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</si>
  <si>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</si>
  <si>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</si>
  <si>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</si>
  <si>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</si>
  <si>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</si>
  <si>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</si>
  <si>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</si>
  <si>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</si>
  <si>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</si>
  <si>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</si>
  <si>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</si>
  <si>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</si>
  <si>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</si>
  <si>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</si>
  <si>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</si>
  <si>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</si>
  <si>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</si>
  <si>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</si>
  <si>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</si>
  <si>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</si>
  <si>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</si>
  <si>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</si>
  <si>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</si>
  <si>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</si>
  <si>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</si>
  <si>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</si>
  <si>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</si>
  <si>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</si>
  <si>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</si>
  <si>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</si>
  <si>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</si>
  <si>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</si>
  <si>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</si>
  <si>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</si>
  <si>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</si>
  <si>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</si>
  <si>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</si>
  <si>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</si>
  <si>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</si>
  <si>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</si>
  <si>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</si>
  <si>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</si>
  <si>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</si>
  <si>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</si>
  <si>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</si>
  <si>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</si>
  <si>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</si>
  <si>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</si>
  <si>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</si>
  <si>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</si>
  <si>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</si>
  <si>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</si>
  <si>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</si>
  <si>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</si>
  <si>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</si>
  <si>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</si>
  <si>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</si>
  <si>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</si>
  <si>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</si>
  <si>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</si>
  <si>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</si>
  <si>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</si>
  <si>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</si>
  <si>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</si>
  <si>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</si>
  <si>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</si>
  <si>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</si>
  <si>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</si>
  <si>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</si>
  <si>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</si>
  <si>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</si>
  <si>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</si>
  <si>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</si>
  <si>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</si>
  <si>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</si>
  <si>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</si>
  <si>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</si>
  <si>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</si>
  <si>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</si>
  <si>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</si>
  <si>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</si>
  <si>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</si>
  <si>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</si>
  <si>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</si>
  <si>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</si>
  <si>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</si>
  <si>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</si>
  <si>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</si>
  <si>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</si>
  <si>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</si>
  <si>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</si>
  <si>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</si>
  <si>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</si>
  <si>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</si>
  <si>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</si>
  <si>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</si>
  <si>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</si>
  <si>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</si>
  <si>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</si>
  <si>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</si>
  <si>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</si>
  <si>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</si>
  <si>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</si>
  <si>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</si>
  <si>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</si>
  <si>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</si>
  <si>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</si>
  <si>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</si>
  <si>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</si>
  <si>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</si>
  <si>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</si>
  <si>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</si>
  <si>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</si>
  <si>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</si>
  <si>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</si>
  <si>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</si>
  <si>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</si>
  <si>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</si>
  <si>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</si>
  <si>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</si>
  <si>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</si>
  <si>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</si>
  <si>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</si>
  <si>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</si>
  <si>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</si>
  <si>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</si>
  <si>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</si>
  <si>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</si>
  <si>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</si>
  <si>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</si>
  <si>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</si>
  <si>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</si>
  <si>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</si>
  <si>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</si>
  <si>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</si>
  <si>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</si>
  <si>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</si>
  <si>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</si>
  <si>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</si>
  <si>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</si>
  <si>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</si>
  <si>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</si>
  <si>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</si>
  <si>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</si>
  <si>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</si>
  <si>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</si>
  <si>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</si>
  <si>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</si>
  <si>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</si>
  <si>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</si>
  <si>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</si>
  <si>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</si>
  <si>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</si>
  <si>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</si>
  <si>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</si>
  <si>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</si>
  <si>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</si>
  <si>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</si>
  <si>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</si>
  <si>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</si>
  <si>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</si>
  <si>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</si>
  <si>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</si>
  <si>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</si>
  <si>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</si>
  <si>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</si>
  <si>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</si>
  <si>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</si>
  <si>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</si>
  <si>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</si>
  <si>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</si>
  <si>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</si>
  <si>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</si>
  <si>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</si>
  <si>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</si>
  <si>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</si>
  <si>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</si>
  <si>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</si>
  <si>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</si>
  <si>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</si>
  <si>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</si>
  <si>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</si>
  <si>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</si>
  <si>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</si>
  <si>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</si>
  <si>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</si>
  <si>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</si>
  <si>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</si>
  <si>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</si>
  <si>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</si>
  <si>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</si>
  <si>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</si>
  <si>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</si>
  <si>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</si>
  <si>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</si>
  <si>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</si>
  <si>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</si>
  <si>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</si>
  <si>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</si>
  <si>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</si>
  <si>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</si>
  <si>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</si>
  <si>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</si>
  <si>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</si>
  <si>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</si>
  <si>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</si>
  <si>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</si>
  <si>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</si>
  <si>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</si>
  <si>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</si>
  <si>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</si>
  <si>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</si>
  <si>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</si>
  <si>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</si>
  <si>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</si>
  <si>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</si>
  <si>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</si>
  <si>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</si>
  <si>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</si>
  <si>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</si>
  <si>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</si>
  <si>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</si>
  <si>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</si>
  <si>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</si>
  <si>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</si>
  <si>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</si>
  <si>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</si>
  <si>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</si>
  <si>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</si>
  <si>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</si>
  <si>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</si>
  <si>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</si>
  <si>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</si>
  <si>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</si>
  <si>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</si>
  <si>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</si>
  <si>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</si>
  <si>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</si>
  <si>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</si>
  <si>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</si>
  <si>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</si>
  <si>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</si>
  <si>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</si>
  <si>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</si>
  <si>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</si>
  <si>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</si>
  <si>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</si>
  <si>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</si>
  <si>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</si>
  <si>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</si>
  <si>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</si>
  <si>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</si>
  <si>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</si>
  <si>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</si>
  <si>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</si>
  <si>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</si>
  <si>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</si>
  <si>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</si>
  <si>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</si>
  <si>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</si>
  <si>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</si>
  <si>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</si>
  <si>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</si>
  <si>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</si>
  <si>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</si>
  <si>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</si>
  <si>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</si>
  <si>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</si>
  <si>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</si>
  <si>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</si>
  <si>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</si>
  <si>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</si>
  <si>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</si>
  <si>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</si>
  <si>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</si>
  <si>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</si>
  <si>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</si>
  <si>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</si>
  <si>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</si>
  <si>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</si>
  <si>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</si>
  <si>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</si>
  <si>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</si>
  <si>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</si>
  <si>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</si>
  <si>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</si>
  <si>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</si>
  <si>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</si>
  <si>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</si>
  <si>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</si>
  <si>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</si>
  <si>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</si>
  <si>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</si>
  <si>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</si>
  <si>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</si>
  <si>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</si>
  <si>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</si>
  <si>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</si>
  <si>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</si>
  <si>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</si>
  <si>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</si>
  <si>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</si>
  <si>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</si>
  <si>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</si>
  <si>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</si>
  <si>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</si>
  <si>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</si>
  <si>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</si>
  <si>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</si>
  <si>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</si>
  <si>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</si>
  <si>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</si>
  <si>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</si>
  <si>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</si>
  <si>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</si>
  <si>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</si>
  <si>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</si>
  <si>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</si>
  <si>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</si>
  <si>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</si>
  <si>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</si>
  <si>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</si>
  <si>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</si>
  <si>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</si>
  <si>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</si>
  <si>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</si>
  <si>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</si>
  <si>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</si>
  <si>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</si>
  <si>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</si>
  <si>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</si>
  <si>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</si>
  <si>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</si>
  <si>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</si>
  <si>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</si>
  <si>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</si>
  <si>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</si>
  <si>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</si>
  <si>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</si>
  <si>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</si>
  <si>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</si>
  <si>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</si>
  <si>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</si>
  <si>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</si>
  <si>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</si>
  <si>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</si>
  <si>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</si>
  <si>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</si>
  <si>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</si>
  <si>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</si>
  <si>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</si>
  <si>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</si>
  <si>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</si>
  <si>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</si>
  <si>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</si>
  <si>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</si>
  <si>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</si>
  <si>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</si>
  <si>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</si>
  <si>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</si>
  <si>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</si>
  <si>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</si>
  <si>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</si>
  <si>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</si>
  <si>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</si>
  <si>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</si>
  <si>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</si>
  <si>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</si>
  <si>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</si>
  <si>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</si>
  <si>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</si>
  <si>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</si>
  <si>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</si>
  <si>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</si>
  <si>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</si>
  <si>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</si>
  <si>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</si>
  <si>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</si>
  <si>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</si>
  <si>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</si>
  <si>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</si>
  <si>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</si>
  <si>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</si>
  <si>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</si>
  <si>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</si>
  <si>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</si>
  <si>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</si>
  <si>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</si>
  <si>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</si>
  <si>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</si>
  <si>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</si>
  <si>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</si>
  <si>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</si>
  <si>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</si>
  <si>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</si>
  <si>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</si>
  <si>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</si>
  <si>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</si>
  <si>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</si>
  <si>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</si>
  <si>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</si>
  <si>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</si>
  <si>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</si>
  <si>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</si>
  <si>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</si>
  <si>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</si>
  <si>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</si>
  <si>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</si>
  <si>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</si>
  <si>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</si>
  <si>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</si>
  <si>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</si>
  <si>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</si>
  <si>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</si>
  <si>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</si>
  <si>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</si>
  <si>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</si>
  <si>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</si>
  <si>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</si>
  <si>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</si>
  <si>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</si>
  <si>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</si>
  <si>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</si>
  <si>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</si>
  <si>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</si>
  <si>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</si>
  <si>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</si>
  <si>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</si>
  <si>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</si>
  <si>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</si>
  <si>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</si>
  <si>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</si>
  <si>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</si>
  <si>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</si>
  <si>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</si>
  <si>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</si>
  <si>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</si>
  <si>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</si>
  <si>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</si>
  <si>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</si>
  <si>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</si>
  <si>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</si>
  <si>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</si>
  <si>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</si>
  <si>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</si>
  <si>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</si>
  <si>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</si>
  <si>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</si>
  <si>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</si>
  <si>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</si>
  <si>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</si>
  <si>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</si>
  <si>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</si>
  <si>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</si>
  <si>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</si>
  <si>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</si>
  <si>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</si>
  <si>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</si>
  <si>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</si>
  <si>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</si>
  <si>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</si>
  <si>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</si>
  <si>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</si>
  <si>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</si>
  <si>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</si>
  <si>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</si>
  <si>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</si>
  <si>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</si>
  <si>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</si>
  <si>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</si>
  <si>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</si>
  <si>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</si>
  <si>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</si>
  <si>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</si>
  <si>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</si>
  <si>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</si>
  <si>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</si>
  <si>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</si>
  <si>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</si>
  <si>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</si>
  <si>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</si>
  <si>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</si>
  <si>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</si>
  <si>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</si>
  <si>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</si>
  <si>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</si>
  <si>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</si>
  <si>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</si>
  <si>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</si>
  <si>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</si>
  <si>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</si>
  <si>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</si>
  <si>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</si>
  <si>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</si>
  <si>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</si>
  <si>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</si>
  <si>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</si>
  <si>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</si>
  <si>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</si>
  <si>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</si>
  <si>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</si>
  <si>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</si>
  <si>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</si>
  <si>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</si>
  <si>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</si>
  <si>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</si>
  <si>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</si>
  <si>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</si>
  <si>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</si>
  <si>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</si>
  <si>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</si>
  <si>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</si>
  <si>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</si>
  <si>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</si>
  <si>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</si>
  <si>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</si>
  <si>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</si>
  <si>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</si>
  <si>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</si>
  <si>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</si>
  <si>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</si>
  <si>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</si>
  <si>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</si>
  <si>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</si>
  <si>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</si>
  <si>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</si>
  <si>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</si>
  <si>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</si>
  <si>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</si>
  <si>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</si>
  <si>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</si>
  <si>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</si>
  <si>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</si>
  <si>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</si>
  <si>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</si>
  <si>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</si>
  <si>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</si>
  <si>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</si>
  <si>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</si>
  <si>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</si>
  <si>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</si>
  <si>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</si>
  <si>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</si>
  <si>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</si>
  <si>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</si>
  <si>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</si>
  <si>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</si>
  <si>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</si>
  <si>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</si>
  <si>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</si>
  <si>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</si>
  <si>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</si>
  <si>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</si>
  <si>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</si>
  <si>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</si>
  <si>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</si>
  <si>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</si>
  <si>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</si>
  <si>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</si>
  <si>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</si>
  <si>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</si>
  <si>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</si>
  <si>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</si>
  <si>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</si>
  <si>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</si>
  <si>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</si>
  <si>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</si>
  <si>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</si>
  <si>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</si>
  <si>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</si>
  <si>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</si>
  <si>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</si>
  <si>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</si>
  <si>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</si>
  <si>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</si>
  <si>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</si>
  <si>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</si>
  <si>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</si>
  <si>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</si>
  <si>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</si>
  <si>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</si>
  <si>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</si>
  <si>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</si>
  <si>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</si>
  <si>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</si>
  <si>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</si>
  <si>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</si>
  <si>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</si>
  <si>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</si>
  <si>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</si>
  <si>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</si>
  <si>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</si>
  <si>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</si>
  <si>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</si>
  <si>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</si>
  <si>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</si>
  <si>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</si>
  <si>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</si>
  <si>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</si>
  <si>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</si>
  <si>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</si>
  <si>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</si>
  <si>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</si>
  <si>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</si>
  <si>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</si>
  <si>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</si>
  <si>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</si>
  <si>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</si>
  <si>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</si>
  <si>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</si>
  <si>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</si>
  <si>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</si>
  <si>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</si>
  <si>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</si>
  <si>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</si>
  <si>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</si>
  <si>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</si>
  <si>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</si>
  <si>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</si>
  <si>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</si>
  <si>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</si>
  <si>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</si>
  <si>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</si>
  <si>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</si>
  <si>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</si>
  <si>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</si>
  <si>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</si>
  <si>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</si>
  <si>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</si>
  <si>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</si>
  <si>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</si>
  <si>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</si>
  <si>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</si>
  <si>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</si>
  <si>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</si>
  <si>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</si>
  <si>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</si>
  <si>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</si>
  <si>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</si>
  <si>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</si>
  <si>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</si>
  <si>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</si>
  <si>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</si>
  <si>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</si>
  <si>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</si>
  <si>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</si>
  <si>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</si>
  <si>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</si>
  <si>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</si>
  <si>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</si>
  <si>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</si>
  <si>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</si>
  <si>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</si>
  <si>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</si>
  <si>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</si>
  <si>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</si>
  <si>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</si>
  <si>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</si>
  <si>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</si>
  <si>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</si>
  <si>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</si>
  <si>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</si>
  <si>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</si>
  <si>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</si>
  <si>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</si>
  <si>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</si>
  <si>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</si>
  <si>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</si>
  <si>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</si>
  <si>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</si>
  <si>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</si>
  <si>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</si>
  <si>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</si>
  <si>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</si>
  <si>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</si>
  <si>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</si>
  <si>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</si>
  <si>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</si>
  <si>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</si>
  <si>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</si>
  <si>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</si>
  <si>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</si>
  <si>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</si>
  <si>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</si>
  <si>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</si>
  <si>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</si>
  <si>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</si>
  <si>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</si>
  <si>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</si>
  <si>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</si>
  <si>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</si>
  <si>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</si>
  <si>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</si>
  <si>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</si>
  <si>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</si>
  <si>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</si>
  <si>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</si>
  <si>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</si>
  <si>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</si>
  <si>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</si>
  <si>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</si>
  <si>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</si>
  <si>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</si>
  <si>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</si>
  <si>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</si>
  <si>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</si>
  <si>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</si>
  <si>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</si>
  <si>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</si>
  <si>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</si>
  <si>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</si>
  <si>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</si>
  <si>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</si>
  <si>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</si>
  <si>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</si>
  <si>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</si>
  <si>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</si>
  <si>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</si>
  <si>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</si>
  <si>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</si>
  <si>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</si>
  <si>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</si>
  <si>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</si>
  <si>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</si>
  <si>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</si>
  <si>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</si>
  <si>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</si>
  <si>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</si>
  <si>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</si>
  <si>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</si>
  <si>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</si>
  <si>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</si>
  <si>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</si>
  <si>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</si>
  <si>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</si>
  <si>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</si>
  <si>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</si>
  <si>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</si>
  <si>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</si>
  <si>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</si>
  <si>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</si>
  <si>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</si>
  <si>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</si>
  <si>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</si>
  <si>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</si>
  <si>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</si>
  <si>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</si>
  <si>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</si>
  <si>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</si>
  <si>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</si>
  <si>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</si>
  <si>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</si>
  <si>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</si>
  <si>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</si>
  <si>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</si>
  <si>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</si>
  <si>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</si>
  <si>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</si>
  <si>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</si>
  <si>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</si>
  <si>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</si>
  <si>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</si>
  <si>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</si>
  <si>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</si>
  <si>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</si>
  <si>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</si>
  <si>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</si>
  <si>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</si>
  <si>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</si>
  <si>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</si>
  <si>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</si>
  <si>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</si>
  <si>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</si>
  <si>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</si>
  <si>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</si>
  <si>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</si>
  <si>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</si>
  <si>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</si>
  <si>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</si>
  <si>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</si>
  <si>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</si>
  <si>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</si>
  <si>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</si>
  <si>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</si>
  <si>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</si>
  <si>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</si>
  <si>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</si>
  <si>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</si>
  <si>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</si>
  <si>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</si>
  <si>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</si>
  <si>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</si>
  <si>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</si>
  <si>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</si>
  <si>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</si>
  <si>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</si>
  <si>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</si>
  <si>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</si>
  <si>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</si>
  <si>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</si>
  <si>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</si>
  <si>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</si>
  <si>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</si>
  <si>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</si>
  <si>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</si>
  <si>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</si>
  <si>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</si>
  <si>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</si>
  <si>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</si>
  <si>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</si>
  <si>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</si>
  <si>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</si>
  <si>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</si>
  <si>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</si>
  <si>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</si>
  <si>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</si>
  <si>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</si>
  <si>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</si>
  <si>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</si>
  <si>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</si>
  <si>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</si>
  <si>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</si>
  <si>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</si>
  <si>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</si>
  <si>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</si>
  <si>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</si>
  <si>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</si>
  <si>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</si>
  <si>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</si>
  <si>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</si>
  <si>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</si>
  <si>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</si>
  <si>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</si>
  <si>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</si>
  <si>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</si>
  <si>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</si>
  <si>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</si>
  <si>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</si>
  <si>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</si>
  <si>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</si>
  <si>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</si>
  <si>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</si>
  <si>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</si>
  <si>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</si>
  <si>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</si>
  <si>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</si>
  <si>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</si>
  <si>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</si>
  <si>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</si>
  <si>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</si>
  <si>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</si>
  <si>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</si>
  <si>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</si>
  <si>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</si>
  <si>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</si>
  <si>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</si>
  <si>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</si>
  <si>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</si>
  <si>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</si>
  <si>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</si>
  <si>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</si>
  <si>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</si>
  <si>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</si>
  <si>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</si>
  <si>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</si>
  <si>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</si>
  <si>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</si>
  <si>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</si>
  <si>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</si>
  <si>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</si>
  <si>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</si>
  <si>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</si>
  <si>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</si>
  <si>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</si>
  <si>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</si>
  <si>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</si>
  <si>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</si>
  <si>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</si>
  <si>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</si>
  <si>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</si>
  <si>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</si>
  <si>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</si>
  <si>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</si>
  <si>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</si>
  <si>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</si>
  <si>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</si>
  <si>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</si>
  <si>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</si>
  <si>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</si>
  <si>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</si>
  <si>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</si>
  <si>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</si>
  <si>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</si>
  <si>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</si>
  <si>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</si>
  <si>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</si>
  <si>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</si>
  <si>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</si>
  <si>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</si>
  <si>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</si>
  <si>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</si>
  <si>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</si>
  <si>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</si>
  <si>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</si>
  <si>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</si>
  <si>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</si>
  <si>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</si>
  <si>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</si>
  <si>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</si>
  <si>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</si>
  <si>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</si>
  <si>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</si>
  <si>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</si>
  <si>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</si>
  <si>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</si>
  <si>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</si>
  <si>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</si>
  <si>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</si>
  <si>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</si>
  <si>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</si>
  <si>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</si>
  <si>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</si>
  <si>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</si>
  <si>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</si>
  <si>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</si>
  <si>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</si>
  <si>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</si>
  <si>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</si>
  <si>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</si>
  <si>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</si>
  <si>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</si>
  <si>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</si>
  <si>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</si>
  <si>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</si>
  <si>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</si>
  <si>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</si>
  <si>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</si>
  <si>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</si>
  <si>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</si>
  <si>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</si>
  <si>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</si>
  <si>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</si>
  <si>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</si>
  <si>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</si>
  <si>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</si>
  <si>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</si>
  <si>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</si>
  <si>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</si>
  <si>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</si>
  <si>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</si>
  <si>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</si>
  <si>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</si>
  <si>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</si>
  <si>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</si>
  <si>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</si>
  <si>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</si>
  <si>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</si>
  <si>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</si>
  <si>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</si>
  <si>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</si>
  <si>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</si>
  <si>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</si>
  <si>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</si>
  <si>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</si>
  <si>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</si>
  <si>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</si>
  <si>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</si>
  <si>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</si>
  <si>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</si>
  <si>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</si>
  <si>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</si>
  <si>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</si>
  <si>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</si>
  <si>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</si>
  <si>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</si>
  <si>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</si>
  <si>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</si>
  <si>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</si>
  <si>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</si>
  <si>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</si>
  <si>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</si>
  <si>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</si>
  <si>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</si>
  <si>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</si>
  <si>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</si>
  <si>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</si>
  <si>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</si>
  <si>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</si>
  <si>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</si>
  <si>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</si>
  <si>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</si>
  <si>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</si>
  <si>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</si>
  <si>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</si>
  <si>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</si>
  <si>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</si>
  <si>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</si>
  <si>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</si>
  <si>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</si>
  <si>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</si>
  <si>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</si>
  <si>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</si>
  <si>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</si>
  <si>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</si>
  <si>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</si>
  <si>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</si>
  <si>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</si>
  <si>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</si>
  <si>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</si>
  <si>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</si>
  <si>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</si>
  <si>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</si>
  <si>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</si>
  <si>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</si>
  <si>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</si>
  <si>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</si>
  <si>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</si>
  <si>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</si>
  <si>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</si>
  <si>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</si>
  <si>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</si>
  <si>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</si>
  <si>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</si>
  <si>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</si>
  <si>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</si>
  <si>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</si>
  <si>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</si>
  <si>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</si>
  <si>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</si>
  <si>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</si>
  <si>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</si>
  <si>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</si>
  <si>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</si>
  <si>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</si>
  <si>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</si>
  <si>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</si>
  <si>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</si>
  <si>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</si>
  <si>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</si>
  <si>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</si>
  <si>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</si>
  <si>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</si>
  <si>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</si>
  <si>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</si>
  <si>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</si>
  <si>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</si>
  <si>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</si>
  <si>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</si>
  <si>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</si>
  <si>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</si>
  <si>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</si>
  <si>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</si>
  <si>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</si>
  <si>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</si>
  <si>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</si>
  <si>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</si>
  <si>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</si>
  <si>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</si>
  <si>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</si>
  <si>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</si>
  <si>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</si>
  <si>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</si>
  <si>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</si>
  <si>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</si>
  <si>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</si>
  <si>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</si>
  <si>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</si>
  <si>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</si>
  <si>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</si>
  <si>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</si>
  <si>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</si>
  <si>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</si>
  <si>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</si>
  <si>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</si>
  <si>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</si>
  <si>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</si>
  <si>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</si>
  <si>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</si>
  <si>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</si>
  <si>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</si>
  <si>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</si>
  <si>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</si>
  <si>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</si>
  <si>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</si>
  <si>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</si>
  <si>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</si>
  <si>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</si>
  <si>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</si>
  <si>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</si>
  <si>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</si>
  <si>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</si>
  <si>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</si>
  <si>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</si>
  <si>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</si>
  <si>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</si>
  <si>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</si>
  <si>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</si>
  <si>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</si>
  <si>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</si>
  <si>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</si>
  <si>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</si>
  <si>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</si>
  <si>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</si>
  <si>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</si>
  <si>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</si>
  <si>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</si>
  <si>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</si>
  <si>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</si>
  <si>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</si>
  <si>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</si>
  <si>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</si>
  <si>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</si>
  <si>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</si>
  <si>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</si>
  <si>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</si>
  <si>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</si>
  <si>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</si>
  <si>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</si>
  <si>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</si>
  <si>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</si>
  <si>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</si>
  <si>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</si>
  <si>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</si>
  <si>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</si>
  <si>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</si>
  <si>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</si>
  <si>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</si>
  <si>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</si>
  <si>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</si>
  <si>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</si>
  <si>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</si>
  <si>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</si>
  <si>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</si>
  <si>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</si>
  <si>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</si>
  <si>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</si>
  <si>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</si>
  <si>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</si>
  <si>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</si>
  <si>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</si>
  <si>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</si>
  <si>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</si>
  <si>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</si>
  <si>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</si>
  <si>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</si>
  <si>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</si>
  <si>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</si>
  <si>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</si>
  <si>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</si>
  <si>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</si>
  <si>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</si>
  <si>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</si>
  <si>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</si>
  <si>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</si>
  <si>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</si>
  <si>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</si>
  <si>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</si>
  <si>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</si>
  <si>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</si>
  <si>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</si>
  <si>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</si>
  <si>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</si>
  <si>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</si>
  <si>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</si>
  <si>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</si>
  <si>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</si>
  <si>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</si>
  <si>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</si>
  <si>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</si>
  <si>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</si>
  <si>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</si>
  <si>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</si>
  <si>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</si>
  <si>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</si>
  <si>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</si>
  <si>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</si>
  <si>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</si>
  <si>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</si>
  <si>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</si>
  <si>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</si>
  <si>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</si>
  <si>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</si>
  <si>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</si>
  <si>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</si>
  <si>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</si>
  <si>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</si>
  <si>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</si>
  <si>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</si>
  <si>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</si>
  <si>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</si>
  <si>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</si>
  <si>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</si>
  <si>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</si>
  <si>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</si>
  <si>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</si>
  <si>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</si>
  <si>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</si>
  <si>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</si>
  <si>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</si>
  <si>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</si>
  <si>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</si>
  <si>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</si>
  <si>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</si>
  <si>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</si>
  <si>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</si>
  <si>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</si>
  <si>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</si>
  <si>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</si>
  <si>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</si>
  <si>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</si>
  <si>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</si>
  <si>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</si>
  <si>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</si>
  <si>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</si>
  <si>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</si>
  <si>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</si>
  <si>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</si>
  <si>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</si>
  <si>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</si>
  <si>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</si>
  <si>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</si>
  <si>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</si>
  <si>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</si>
  <si>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</si>
  <si>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</si>
  <si>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</si>
  <si>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</si>
  <si>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</si>
  <si>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</si>
  <si>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</si>
  <si>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</si>
  <si>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</si>
  <si>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</si>
  <si>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</si>
  <si>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</si>
  <si>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</si>
  <si>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</si>
  <si>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</si>
  <si>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</si>
  <si>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</si>
  <si>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</si>
  <si>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</si>
  <si>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</si>
  <si>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</si>
  <si>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</si>
  <si>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</si>
  <si>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</si>
  <si>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</si>
  <si>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</si>
  <si>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</si>
  <si>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</si>
  <si>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</si>
  <si>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</si>
  <si>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</si>
  <si>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</si>
  <si>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</si>
  <si>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</si>
  <si>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</si>
  <si>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</si>
  <si>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</si>
  <si>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</si>
  <si>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</si>
  <si>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</si>
  <si>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</si>
  <si>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</si>
  <si>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</si>
  <si>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</si>
  <si>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</si>
  <si>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</si>
  <si>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</si>
  <si>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</si>
  <si>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</si>
  <si>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</si>
  <si>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</si>
  <si>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</si>
  <si>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</si>
  <si>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</si>
  <si>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</si>
  <si>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</si>
  <si>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</si>
  <si>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</si>
  <si>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</si>
  <si>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</si>
  <si>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</si>
  <si>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</si>
  <si>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</si>
  <si>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</si>
  <si>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</si>
  <si>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</si>
  <si>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</si>
  <si>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</si>
  <si>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</si>
  <si>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</si>
  <si>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</si>
  <si>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</si>
  <si>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</si>
  <si>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</si>
  <si>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</si>
  <si>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</si>
  <si>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</si>
  <si>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</si>
  <si>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</si>
  <si>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</si>
  <si>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</si>
  <si>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</si>
  <si>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</si>
  <si>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</si>
  <si>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</si>
  <si>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</si>
  <si>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</si>
  <si>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</si>
  <si>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</si>
  <si>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</si>
  <si>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</si>
  <si>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</si>
  <si>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</si>
  <si>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</si>
  <si>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</si>
  <si>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</si>
  <si>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</si>
  <si>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</si>
  <si>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</si>
  <si>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</si>
  <si>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</si>
  <si>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</si>
  <si>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</si>
  <si>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</si>
  <si>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</si>
  <si>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</si>
  <si>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</si>
  <si>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</si>
  <si>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</si>
  <si>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</si>
  <si>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</si>
  <si>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</si>
  <si>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</si>
  <si>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</si>
  <si>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</si>
  <si>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</si>
  <si>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</si>
  <si>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</si>
  <si>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</si>
  <si>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</si>
  <si>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</si>
  <si>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</si>
  <si>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</si>
  <si>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</si>
  <si>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</si>
  <si>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</si>
  <si>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</si>
  <si>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</si>
  <si>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</si>
  <si>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</si>
  <si>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</si>
  <si>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</si>
  <si>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</si>
  <si>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</si>
  <si>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</si>
  <si>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</si>
  <si>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</si>
  <si>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</si>
  <si>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</si>
  <si>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</si>
  <si>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</si>
  <si>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</si>
  <si>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</si>
  <si>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</si>
  <si>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</si>
  <si>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</si>
  <si>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</si>
  <si>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</si>
  <si>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</si>
  <si>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</si>
  <si>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</si>
  <si>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</si>
  <si>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</si>
  <si>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</si>
  <si>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</si>
  <si>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</si>
  <si>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</si>
  <si>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</si>
  <si>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</si>
  <si>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</si>
  <si>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</si>
  <si>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</si>
  <si>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</si>
  <si>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</si>
  <si>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</si>
  <si>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</si>
  <si>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</si>
  <si>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</si>
  <si>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</si>
  <si>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</si>
  <si>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</si>
  <si>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</si>
  <si>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</si>
  <si>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</si>
  <si>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</si>
  <si>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</si>
  <si>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</si>
  <si>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</si>
  <si>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</si>
  <si>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</si>
  <si>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</si>
  <si>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</si>
  <si>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</si>
  <si>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</si>
  <si>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</si>
  <si>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</si>
  <si>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</si>
  <si>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</si>
  <si>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</si>
  <si>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</si>
  <si>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</si>
  <si>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</si>
  <si>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</si>
  <si>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</si>
  <si>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</si>
  <si>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</si>
  <si>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</si>
  <si>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</si>
  <si>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</si>
  <si>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</si>
  <si>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</si>
  <si>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</si>
  <si>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</si>
  <si>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</si>
  <si>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</si>
  <si>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</si>
  <si>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</si>
  <si>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</si>
  <si>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</si>
  <si>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</si>
  <si>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</si>
  <si>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</si>
  <si>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</si>
  <si>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</si>
  <si>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</si>
  <si>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</si>
  <si>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</si>
  <si>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</si>
  <si>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</si>
  <si>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</si>
  <si>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</si>
  <si>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</si>
  <si>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</si>
  <si>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</si>
  <si>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</si>
  <si>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</si>
  <si>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</si>
  <si>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</si>
  <si>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</si>
  <si>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</si>
  <si>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</si>
  <si>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</si>
  <si>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</si>
  <si>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</si>
  <si>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</si>
  <si>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</si>
  <si>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</si>
  <si>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</si>
  <si>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</si>
  <si>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</si>
  <si>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</si>
  <si>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</si>
  <si>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</si>
  <si>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</si>
  <si>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</si>
  <si>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</si>
  <si>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</si>
  <si>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</si>
  <si>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</si>
  <si>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</si>
  <si>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</si>
  <si>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</si>
  <si>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</si>
  <si>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</si>
  <si>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</si>
  <si>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</si>
  <si>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</si>
  <si>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</si>
  <si>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</si>
  <si>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</si>
  <si>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</si>
  <si>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</si>
  <si>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</si>
  <si>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</si>
  <si>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</si>
  <si>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</si>
  <si>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</si>
  <si>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</si>
  <si>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</si>
  <si>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</si>
  <si>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</si>
  <si>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</si>
  <si>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</si>
  <si>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</si>
  <si>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</si>
  <si>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</si>
  <si>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</si>
  <si>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</si>
  <si>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</si>
  <si>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</si>
  <si>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</si>
  <si>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</si>
  <si>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</si>
  <si>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</si>
  <si>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</si>
  <si>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</si>
  <si>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</si>
  <si>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</si>
  <si>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</si>
  <si>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</si>
  <si>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</si>
  <si>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</si>
  <si>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</si>
  <si>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</si>
  <si>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</si>
  <si>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</si>
  <si>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</si>
  <si>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</si>
  <si>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</si>
  <si>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</si>
  <si>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</si>
  <si>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</si>
  <si>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</si>
  <si>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</si>
  <si>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</si>
  <si>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</si>
  <si>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</si>
  <si>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</si>
  <si>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</si>
  <si>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</si>
  <si>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</si>
  <si>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</si>
  <si>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</si>
  <si>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</si>
  <si>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</si>
  <si>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</si>
  <si>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</si>
  <si>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</si>
  <si>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</si>
  <si>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</si>
  <si>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</si>
  <si>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</si>
  <si>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</si>
  <si>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</si>
  <si>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</si>
  <si>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</si>
  <si>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</si>
  <si>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</si>
  <si>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</si>
  <si>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</si>
  <si>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</si>
  <si>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</si>
  <si>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</si>
  <si>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</si>
  <si>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</si>
  <si>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</si>
  <si>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</si>
  <si>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</si>
  <si>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</si>
  <si>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</si>
  <si>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</si>
  <si>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</si>
  <si>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</si>
  <si>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</si>
  <si>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</si>
  <si>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</si>
  <si>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</si>
  <si>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</si>
  <si>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</si>
  <si>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</si>
  <si>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</si>
  <si>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</si>
  <si>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</si>
  <si>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</si>
  <si>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</si>
  <si>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</si>
  <si>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</si>
  <si>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</si>
  <si>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</si>
  <si>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</si>
  <si>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</si>
  <si>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</si>
  <si>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</si>
  <si>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</si>
  <si>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</si>
  <si>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</si>
  <si>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</si>
  <si>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</si>
  <si>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</si>
  <si>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</si>
  <si>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</si>
  <si>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</si>
  <si>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</si>
  <si>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</si>
  <si>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</si>
  <si>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</si>
  <si>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</si>
  <si>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</si>
  <si>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</si>
  <si>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</si>
  <si>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</si>
  <si>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</si>
  <si>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</si>
  <si>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</si>
  <si>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</si>
  <si>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</si>
  <si>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</si>
  <si>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</si>
  <si>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</si>
  <si>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</si>
  <si>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</si>
  <si>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</si>
  <si>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</si>
  <si>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</si>
  <si>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</si>
  <si>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</si>
  <si>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</si>
  <si>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</si>
  <si>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</si>
  <si>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</si>
  <si>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</si>
  <si>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</si>
  <si>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</si>
  <si>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</si>
  <si>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</si>
  <si>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</si>
  <si>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</si>
  <si>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</si>
  <si>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</si>
  <si>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</si>
  <si>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</si>
  <si>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</si>
  <si>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</si>
  <si>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</si>
  <si>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</si>
  <si>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</si>
  <si>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</si>
  <si>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</si>
  <si>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</si>
  <si>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</si>
  <si>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</si>
  <si>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</si>
  <si>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</si>
  <si>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</si>
  <si>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</si>
  <si>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</si>
  <si>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</si>
  <si>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</si>
  <si>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</si>
  <si>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</si>
  <si>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</si>
  <si>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</si>
  <si>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</si>
  <si>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</si>
  <si>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</si>
  <si>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</si>
  <si>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</si>
  <si>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</si>
  <si>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</si>
  <si>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</si>
  <si>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</si>
  <si>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</si>
  <si>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</si>
  <si>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</si>
  <si>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</si>
  <si>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</si>
  <si>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</si>
  <si>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</si>
  <si>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</si>
  <si>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</si>
  <si>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</si>
  <si>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</si>
  <si>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</si>
  <si>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</si>
  <si>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</si>
  <si>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</si>
  <si>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</si>
  <si>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</si>
  <si>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</si>
  <si>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</si>
  <si>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</si>
  <si>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</si>
  <si>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</si>
  <si>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</si>
  <si>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</si>
  <si>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</si>
  <si>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</si>
  <si>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</si>
  <si>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</si>
  <si>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</si>
  <si>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</si>
  <si>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</si>
  <si>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</si>
  <si>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</si>
  <si>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</si>
  <si>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</si>
  <si>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</si>
  <si>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</si>
  <si>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</si>
  <si>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</si>
  <si>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</si>
  <si>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</si>
  <si>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</si>
  <si>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</si>
  <si>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</si>
  <si>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</si>
  <si>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</si>
  <si>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</si>
  <si>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</si>
  <si>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</si>
  <si>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</si>
  <si>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</si>
  <si>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</si>
  <si>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</si>
  <si>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</si>
  <si>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</si>
  <si>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</si>
  <si>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</si>
  <si>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</si>
  <si>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</si>
  <si>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</si>
  <si>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</si>
  <si>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</si>
  <si>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</si>
  <si>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</si>
  <si>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</si>
  <si>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</si>
  <si>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</si>
  <si>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</si>
  <si>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</si>
  <si>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</si>
  <si>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</si>
  <si>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</si>
  <si>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</si>
  <si>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</si>
  <si>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</si>
  <si>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</si>
  <si>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</si>
  <si>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</si>
  <si>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</si>
  <si>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</si>
  <si>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</si>
  <si>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</si>
  <si>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</si>
  <si>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</si>
  <si>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</si>
  <si>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</si>
  <si>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</si>
  <si>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</si>
  <si>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</si>
  <si>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</si>
  <si>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</si>
  <si>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</si>
  <si>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</si>
  <si>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</si>
  <si>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</si>
  <si>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</si>
  <si>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</si>
  <si>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</si>
  <si>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</si>
  <si>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</si>
  <si>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</si>
  <si>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</si>
  <si>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</si>
  <si>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</si>
  <si>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</si>
  <si>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</si>
  <si>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</si>
  <si>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</si>
  <si>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</si>
  <si>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</si>
  <si>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</si>
  <si>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</si>
  <si>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</si>
  <si>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</si>
  <si>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</si>
  <si>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</si>
  <si>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</si>
  <si>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</si>
  <si>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</si>
  <si>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</si>
  <si>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</si>
  <si>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</si>
  <si>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</si>
  <si>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</si>
  <si>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</si>
  <si>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</si>
  <si>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</si>
  <si>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</si>
  <si>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</si>
  <si>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</si>
  <si>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</si>
  <si>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</si>
  <si>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</si>
  <si>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</si>
  <si>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</si>
  <si>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</si>
  <si>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</si>
  <si>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</si>
  <si>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</si>
  <si>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</si>
  <si>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</si>
  <si>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</si>
  <si>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</si>
  <si>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</si>
  <si>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</si>
  <si>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</si>
  <si>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</si>
  <si>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</si>
  <si>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</si>
  <si>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</si>
  <si>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</si>
  <si>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</si>
  <si>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</si>
  <si>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</si>
  <si>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</si>
  <si>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</si>
  <si>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</si>
  <si>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</si>
  <si>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</si>
  <si>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</si>
  <si>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</si>
  <si>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</si>
  <si>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</si>
  <si>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</si>
  <si>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</si>
  <si>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</si>
  <si>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</si>
  <si>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</si>
  <si>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</si>
  <si>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</si>
  <si>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</si>
  <si>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</si>
  <si>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</si>
  <si>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</si>
  <si>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</si>
  <si>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</si>
  <si>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</si>
  <si>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</si>
  <si>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</si>
  <si>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</si>
  <si>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</si>
  <si>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</si>
  <si>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</si>
  <si>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</si>
  <si>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</si>
  <si>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</si>
  <si>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</si>
  <si>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</si>
  <si>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</si>
  <si>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</si>
  <si>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</si>
  <si>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</si>
  <si>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</si>
  <si>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</si>
  <si>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</si>
  <si>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</si>
  <si>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</si>
  <si>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</si>
  <si>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</si>
  <si>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</si>
  <si>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</si>
  <si>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</si>
  <si>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</si>
  <si>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</si>
  <si>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</si>
  <si>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</si>
  <si>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</si>
  <si>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</si>
  <si>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</si>
  <si>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</si>
  <si>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</si>
  <si>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</si>
  <si>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</si>
  <si>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</si>
  <si>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</si>
  <si>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</si>
  <si>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</si>
  <si>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</si>
  <si>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</si>
  <si>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</si>
  <si>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</si>
  <si>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</si>
  <si>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</si>
  <si>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</si>
  <si>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</si>
  <si>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</si>
  <si>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</si>
  <si>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</si>
  <si>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</si>
  <si>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</si>
  <si>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</si>
  <si>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</si>
  <si>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</si>
  <si>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</si>
  <si>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</si>
  <si>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</si>
  <si>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</si>
  <si>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</si>
  <si>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</si>
  <si>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</si>
  <si>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</si>
  <si>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</si>
  <si>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</si>
  <si>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</si>
  <si>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</si>
  <si>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</si>
  <si>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</si>
  <si>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</si>
  <si>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</si>
  <si>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</si>
  <si>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</si>
  <si>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</si>
  <si>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</si>
  <si>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</si>
  <si>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</si>
  <si>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</si>
  <si>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</si>
  <si>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</si>
  <si>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</si>
  <si>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</si>
  <si>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</si>
  <si>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</si>
  <si>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</si>
  <si>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</si>
  <si>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</si>
  <si>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</si>
  <si>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</si>
  <si>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</si>
  <si>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</si>
  <si>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</si>
  <si>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</si>
  <si>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</si>
  <si>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</si>
  <si>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</si>
  <si>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</si>
  <si>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</si>
  <si>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</si>
  <si>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</si>
  <si>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</si>
  <si>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</si>
  <si>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</si>
  <si>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</si>
  <si>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</si>
  <si>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</si>
  <si>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</si>
  <si>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</si>
  <si>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</si>
  <si>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</si>
  <si>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</si>
  <si>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</si>
  <si>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</si>
  <si>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</si>
  <si>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</si>
  <si>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</si>
  <si>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</si>
  <si>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</si>
  <si>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</si>
  <si>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</si>
  <si>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</si>
  <si>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</si>
  <si>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</si>
  <si>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</si>
  <si>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</si>
  <si>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</si>
  <si>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</si>
  <si>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</si>
  <si>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</si>
  <si>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</si>
  <si>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</si>
  <si>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</si>
  <si>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</si>
  <si>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</si>
  <si>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</si>
  <si>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</si>
  <si>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</si>
  <si>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</si>
  <si>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</si>
  <si>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</si>
  <si>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</si>
  <si>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</si>
  <si>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</si>
  <si>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</si>
  <si>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</si>
  <si>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</si>
  <si>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</si>
  <si>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</si>
  <si>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</si>
  <si>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</si>
  <si>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</si>
  <si>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</si>
  <si>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</si>
  <si>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</si>
  <si>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</si>
  <si>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</si>
  <si>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</si>
  <si>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</si>
  <si>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</si>
  <si>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</si>
  <si>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</si>
  <si>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</si>
  <si>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</si>
  <si>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</si>
  <si>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</si>
  <si>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</si>
  <si>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</si>
  <si>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</si>
  <si>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</si>
  <si>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</si>
  <si>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</si>
  <si>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</si>
  <si>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</si>
  <si>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</si>
  <si>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</si>
  <si>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</si>
  <si>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</si>
  <si>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</si>
  <si>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</si>
  <si>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</si>
  <si>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</si>
  <si>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</si>
  <si>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</si>
  <si>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</si>
  <si>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</si>
  <si>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</si>
  <si>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</si>
  <si>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</si>
  <si>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</si>
  <si>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</si>
  <si>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</si>
  <si>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</si>
  <si>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</si>
  <si>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</si>
  <si>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</si>
  <si>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</si>
  <si>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</si>
  <si>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</si>
  <si>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</si>
  <si>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</si>
  <si>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</si>
  <si>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</si>
  <si>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</si>
  <si>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</si>
  <si>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</si>
  <si>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</si>
  <si>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</si>
  <si>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</si>
  <si>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</si>
  <si>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</si>
  <si>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</si>
  <si>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</si>
  <si>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</si>
  <si>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</si>
  <si>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</si>
  <si>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</si>
  <si>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</si>
  <si>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</si>
  <si>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</si>
  <si>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</si>
  <si>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</si>
  <si>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</si>
  <si>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</si>
  <si>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</si>
  <si>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</si>
  <si>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</si>
  <si>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</si>
  <si>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</si>
  <si>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</si>
  <si>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</si>
  <si>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</si>
  <si>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</si>
  <si>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</si>
  <si>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</si>
  <si>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</si>
  <si>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</si>
  <si>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</si>
  <si>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</si>
  <si>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</si>
  <si>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</si>
  <si>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</si>
  <si>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</si>
  <si>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</si>
  <si>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</si>
  <si>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</si>
  <si>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</si>
  <si>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</si>
  <si>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</si>
  <si>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</si>
  <si>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</si>
  <si>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</si>
  <si>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</si>
  <si>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</si>
  <si>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</si>
  <si>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</si>
  <si>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</si>
  <si>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</si>
  <si>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</si>
  <si>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</si>
  <si>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</si>
  <si>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</si>
  <si>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</si>
  <si>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</si>
  <si>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</si>
  <si>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</si>
  <si>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</si>
  <si>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</si>
  <si>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</si>
  <si>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</si>
  <si>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</si>
  <si>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</si>
  <si>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</si>
  <si>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</si>
  <si>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</si>
  <si>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</si>
  <si>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</si>
  <si>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</si>
  <si>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</si>
  <si>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</si>
  <si>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</si>
  <si>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</si>
  <si>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</si>
  <si>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</si>
  <si>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</si>
  <si>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</si>
  <si>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</si>
  <si>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</si>
  <si>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</si>
  <si>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</si>
  <si>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</si>
  <si>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</si>
  <si>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</si>
  <si>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</si>
  <si>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</si>
  <si>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</si>
  <si>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</si>
  <si>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</si>
  <si>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</si>
  <si>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</si>
  <si>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</si>
  <si>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</si>
  <si>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</si>
  <si>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</si>
  <si>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</si>
  <si>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</si>
  <si>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</si>
  <si>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</si>
  <si>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</si>
  <si>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</si>
  <si>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</si>
  <si>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</si>
  <si>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</si>
  <si>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</si>
  <si>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</si>
  <si>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</si>
  <si>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</si>
  <si>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</si>
  <si>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</si>
  <si>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</si>
  <si>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</si>
  <si>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</si>
  <si>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</si>
  <si>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</si>
  <si>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</si>
  <si>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</si>
  <si>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</si>
  <si>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</si>
  <si>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</si>
  <si>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</si>
  <si>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</si>
  <si>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</si>
  <si>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</si>
  <si>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</si>
  <si>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</si>
  <si>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</si>
  <si>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</si>
  <si>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</si>
  <si>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</si>
  <si>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</si>
  <si>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</si>
  <si>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</si>
  <si>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</si>
  <si>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</si>
  <si>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</si>
  <si>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</si>
  <si>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</si>
  <si>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</si>
  <si>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</si>
  <si>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</si>
  <si>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</si>
  <si>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</si>
  <si>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</si>
  <si>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</si>
  <si>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</si>
  <si>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</si>
  <si>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</si>
  <si>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</si>
  <si>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</si>
  <si>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</si>
  <si>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</si>
  <si>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</si>
  <si>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</si>
  <si>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</si>
  <si>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</si>
  <si>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</si>
  <si>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</si>
  <si>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</si>
  <si>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</si>
  <si>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</si>
  <si>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</si>
  <si>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</si>
  <si>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</si>
  <si>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</si>
  <si>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</si>
  <si>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</si>
  <si>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</si>
  <si>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</si>
  <si>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</si>
  <si>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</si>
  <si>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</si>
  <si>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</si>
  <si>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</si>
  <si>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</si>
  <si>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</si>
  <si>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</si>
  <si>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</si>
  <si>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</si>
  <si>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</si>
  <si>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</si>
  <si>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</si>
  <si>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</si>
  <si>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</si>
  <si>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</si>
  <si>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</si>
  <si>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</si>
  <si>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</si>
  <si>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</si>
  <si>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</si>
  <si>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</si>
  <si>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</si>
  <si>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</si>
  <si>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</si>
  <si>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</si>
  <si>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</si>
  <si>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</si>
  <si>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</si>
  <si>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</si>
  <si>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</si>
  <si>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</si>
  <si>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</si>
  <si>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</si>
  <si>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</si>
  <si>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</si>
  <si>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</si>
  <si>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</si>
  <si>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</si>
  <si>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</si>
  <si>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</si>
  <si>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</si>
  <si>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</si>
  <si>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</si>
  <si>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</si>
  <si>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</si>
  <si>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</si>
  <si>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</si>
  <si>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</si>
  <si>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</si>
  <si>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</si>
  <si>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</si>
  <si>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</si>
  <si>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</si>
  <si>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</si>
  <si>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</si>
  <si>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</si>
  <si>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</si>
  <si>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</si>
  <si>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</si>
  <si>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</si>
  <si>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</si>
  <si>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</si>
  <si>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</si>
  <si>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</si>
  <si>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</si>
  <si>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</si>
  <si>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</si>
  <si>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</si>
  <si>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</si>
  <si>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</si>
  <si>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</si>
  <si>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</si>
  <si>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</si>
  <si>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</si>
  <si>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</si>
  <si>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</si>
  <si>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</si>
  <si>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</si>
  <si>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</si>
  <si>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</si>
  <si>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</si>
  <si>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</si>
  <si>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</si>
  <si>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</si>
  <si>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</si>
  <si>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</si>
  <si>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</si>
  <si>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</si>
  <si>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</si>
  <si>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</si>
  <si>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</si>
  <si>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</si>
  <si>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</si>
  <si>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</si>
  <si>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</si>
  <si>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</si>
  <si>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</si>
  <si>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</si>
  <si>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</si>
  <si>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</si>
  <si>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</si>
  <si>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</si>
  <si>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</si>
  <si>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</si>
  <si>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</si>
  <si>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</si>
  <si>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</si>
  <si>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</si>
  <si>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</si>
  <si>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</si>
  <si>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</si>
  <si>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</si>
  <si>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</si>
  <si>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</si>
  <si>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</si>
  <si>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</si>
  <si>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</si>
  <si>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</si>
  <si>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</si>
  <si>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</si>
  <si>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</si>
  <si>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</si>
  <si>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</si>
  <si>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</si>
  <si>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</si>
  <si>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</si>
  <si>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</si>
  <si>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</si>
  <si>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</si>
  <si>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</si>
  <si>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</si>
  <si>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</si>
  <si>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</si>
  <si>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</si>
  <si>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</si>
  <si>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</si>
  <si>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</si>
  <si>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</si>
  <si>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</si>
  <si>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</si>
  <si>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</si>
  <si>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</si>
  <si>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</si>
  <si>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</si>
  <si>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</si>
  <si>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</si>
  <si>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</si>
  <si>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</si>
  <si>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</si>
  <si>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</si>
  <si>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</si>
  <si>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</si>
  <si>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</si>
  <si>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</si>
  <si>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</si>
  <si>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</si>
  <si>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</si>
  <si>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</si>
  <si>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</si>
  <si>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</si>
  <si>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</si>
  <si>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</si>
  <si>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</si>
  <si>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</si>
  <si>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</si>
  <si>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</si>
  <si>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</si>
  <si>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</si>
  <si>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</si>
  <si>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</si>
  <si>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</si>
  <si>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</si>
  <si>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</si>
  <si>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</si>
  <si>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</si>
  <si>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</si>
  <si>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</si>
  <si>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</si>
  <si>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</si>
  <si>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</si>
  <si>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</si>
  <si>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</si>
  <si>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</si>
  <si>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</si>
  <si>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</si>
  <si>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</si>
  <si>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</si>
  <si>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</si>
  <si>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</si>
  <si>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</si>
  <si>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</si>
  <si>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</si>
  <si>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</si>
  <si>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</si>
  <si>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</si>
  <si>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</si>
  <si>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</si>
  <si>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</si>
  <si>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</si>
  <si>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</si>
  <si>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</si>
  <si>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</si>
  <si>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</si>
  <si>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</si>
  <si>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</si>
  <si>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</si>
  <si>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</si>
  <si>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</si>
  <si>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</si>
  <si>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</si>
  <si>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</si>
  <si>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</si>
  <si>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</si>
  <si>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</si>
  <si>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</si>
  <si>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</si>
  <si>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</si>
  <si>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</si>
  <si>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</si>
  <si>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</si>
  <si>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</si>
  <si>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</si>
  <si>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</si>
  <si>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</si>
  <si>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</si>
  <si>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</si>
  <si>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</si>
  <si>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</si>
  <si>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</si>
  <si>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</si>
  <si>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</si>
  <si>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</si>
  <si>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</si>
  <si>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</si>
  <si>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</si>
  <si>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</si>
  <si>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</si>
  <si>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</si>
  <si>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</si>
  <si>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</si>
  <si>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</si>
  <si>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</si>
  <si>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</si>
  <si>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</si>
  <si>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</si>
  <si>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</si>
  <si>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</si>
  <si>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</si>
  <si>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</si>
  <si>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</si>
  <si>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</si>
  <si>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</si>
  <si>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</si>
  <si>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</si>
  <si>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</si>
  <si>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</si>
  <si>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</si>
  <si>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</si>
  <si>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</si>
  <si>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</si>
  <si>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</si>
  <si>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</si>
  <si>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</si>
  <si>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</si>
  <si>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</si>
  <si>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</si>
  <si>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</si>
  <si>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</si>
  <si>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</si>
  <si>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</si>
  <si>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</si>
  <si>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</si>
  <si>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</si>
  <si>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</si>
  <si>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</si>
  <si>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</si>
  <si>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</si>
  <si>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</si>
  <si>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</si>
  <si>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</si>
  <si>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</si>
  <si>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</si>
  <si>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</si>
  <si>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</si>
  <si>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</si>
  <si>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</si>
  <si>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</si>
  <si>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</si>
  <si>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</si>
  <si>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</si>
  <si>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</si>
  <si>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</si>
  <si>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</si>
  <si>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</si>
  <si>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</si>
  <si>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</si>
  <si>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</si>
  <si>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</si>
  <si>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</si>
  <si>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</si>
  <si>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</si>
  <si>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</si>
  <si>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</si>
  <si>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</si>
  <si>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</si>
  <si>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</si>
  <si>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</si>
  <si>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</si>
  <si>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</si>
  <si>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</si>
  <si>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</si>
  <si>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</si>
  <si>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</si>
  <si>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</si>
  <si>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</si>
  <si>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</si>
  <si>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</si>
  <si>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</si>
  <si>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</si>
  <si>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</si>
  <si>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</si>
  <si>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</si>
  <si>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</si>
  <si>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</si>
  <si>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</si>
  <si>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</si>
  <si>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</si>
  <si>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</si>
  <si>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</si>
  <si>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</si>
  <si>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</si>
  <si>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</si>
  <si>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</si>
  <si>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</si>
  <si>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</si>
  <si>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</si>
  <si>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</si>
  <si>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</si>
  <si>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</si>
  <si>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</si>
  <si>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</si>
  <si>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</si>
  <si>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</si>
  <si>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</si>
  <si>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</si>
  <si>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</si>
  <si>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</si>
  <si>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</si>
  <si>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</si>
  <si>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</si>
  <si>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</si>
  <si>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</si>
  <si>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</si>
  <si>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</si>
  <si>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</si>
  <si>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</si>
  <si>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</si>
  <si>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</si>
  <si>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</si>
  <si>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</si>
  <si>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</si>
  <si>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</si>
  <si>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</si>
  <si>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</si>
  <si>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</si>
  <si>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</si>
  <si>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</si>
  <si>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</si>
  <si>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</si>
  <si>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</si>
  <si>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</si>
  <si>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</si>
  <si>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</si>
  <si>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</si>
  <si>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</si>
  <si>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</si>
  <si>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</si>
  <si>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</si>
  <si>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</si>
  <si>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</si>
  <si>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</si>
  <si>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</si>
  <si>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</si>
  <si>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</si>
  <si>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</si>
  <si>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</si>
  <si>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</si>
  <si>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</si>
  <si>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</si>
  <si>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</si>
  <si>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</si>
  <si>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</si>
  <si>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</si>
  <si>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</si>
  <si>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</si>
  <si>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</si>
  <si>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</si>
  <si>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</si>
  <si>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</si>
  <si>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</si>
  <si>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</si>
  <si>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</si>
  <si>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</si>
  <si>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</si>
  <si>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</si>
  <si>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</si>
  <si>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</si>
  <si>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</si>
  <si>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</si>
  <si>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</si>
  <si>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</si>
  <si>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</si>
  <si>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</si>
  <si>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</si>
  <si>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</si>
  <si>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</si>
  <si>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</si>
  <si>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</si>
  <si>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</si>
  <si>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</si>
  <si>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</si>
  <si>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</si>
  <si>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</si>
  <si>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</si>
  <si>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</si>
  <si>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</si>
  <si>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</si>
  <si>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</si>
  <si>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</si>
  <si>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</si>
  <si>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</si>
  <si>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</si>
  <si>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</si>
  <si>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</si>
  <si>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</si>
  <si>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</si>
  <si>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</si>
  <si>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</si>
  <si>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</si>
  <si>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</si>
  <si>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</si>
  <si>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</si>
  <si>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</si>
  <si>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</si>
  <si>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</si>
  <si>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</si>
  <si>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</si>
  <si>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</si>
  <si>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</si>
  <si>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</si>
  <si>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</si>
  <si>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</si>
  <si>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</si>
  <si>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</si>
  <si>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</si>
  <si>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</si>
  <si>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</si>
  <si>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</si>
  <si>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</si>
  <si>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</si>
  <si>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</si>
  <si>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</si>
  <si>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</si>
  <si>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</si>
  <si>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</si>
  <si>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</si>
  <si>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</si>
  <si>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</si>
  <si>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</si>
  <si>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</si>
  <si>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</si>
  <si>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</si>
  <si>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</si>
  <si>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</si>
  <si>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</si>
  <si>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</si>
  <si>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</si>
  <si>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</si>
  <si>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</si>
  <si>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</si>
  <si>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</si>
  <si>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</si>
  <si>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</si>
  <si>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</si>
  <si>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</si>
  <si>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</si>
  <si>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</si>
  <si>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</si>
  <si>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</si>
  <si>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</si>
  <si>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</si>
  <si>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</si>
  <si>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</si>
  <si>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</si>
  <si>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</si>
  <si>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</si>
  <si>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</si>
  <si>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</si>
  <si>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</si>
  <si>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</si>
  <si>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</si>
  <si>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</si>
  <si>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</si>
  <si>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</si>
  <si>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</si>
  <si>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</si>
  <si>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</si>
  <si>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</si>
  <si>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</si>
  <si>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</si>
  <si>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</si>
  <si>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</si>
  <si>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</si>
  <si>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</si>
  <si>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</si>
  <si>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</si>
  <si>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</si>
  <si>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</si>
  <si>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</si>
  <si>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</si>
  <si>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</si>
  <si>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</si>
  <si>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</si>
  <si>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</si>
  <si>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</si>
  <si>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</si>
  <si>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</si>
  <si>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</si>
  <si>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</si>
  <si>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</si>
  <si>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</si>
  <si>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</si>
  <si>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</si>
  <si>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</si>
  <si>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</si>
  <si>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</si>
  <si>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</si>
  <si>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</si>
  <si>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</si>
  <si>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</si>
  <si>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</si>
  <si>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</si>
  <si>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</si>
  <si>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</si>
  <si>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</si>
  <si>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</si>
  <si>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</si>
  <si>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</si>
  <si>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</si>
  <si>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</si>
  <si>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</si>
  <si>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</si>
  <si>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</si>
  <si>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</si>
  <si>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</si>
  <si>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</si>
  <si>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</si>
  <si>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</si>
  <si>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</si>
  <si>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</si>
  <si>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</si>
  <si>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</si>
  <si>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</si>
  <si>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</si>
  <si>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</si>
  <si>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</si>
  <si>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</si>
  <si>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</si>
  <si>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</si>
  <si>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</si>
  <si>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</si>
  <si>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</si>
  <si>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</si>
  <si>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</si>
  <si>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</si>
  <si>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</si>
  <si>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</si>
  <si>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</si>
  <si>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</si>
  <si>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</si>
  <si>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</si>
  <si>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</si>
  <si>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</si>
  <si>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</si>
  <si>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</si>
  <si>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</si>
  <si>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</si>
  <si>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</si>
  <si>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</si>
  <si>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</si>
  <si>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</si>
  <si>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</si>
  <si>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</si>
  <si>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</si>
  <si>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</si>
  <si>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</si>
  <si>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</si>
  <si>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</si>
  <si>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</si>
  <si>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</si>
  <si>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</si>
  <si>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</si>
  <si>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</si>
  <si>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</si>
  <si>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</si>
  <si>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</si>
  <si>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</si>
  <si>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</si>
  <si>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</si>
  <si>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</si>
  <si>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</si>
  <si>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</si>
  <si>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</si>
  <si>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</si>
  <si>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</si>
  <si>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</si>
  <si>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</si>
  <si>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</si>
  <si>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</si>
  <si>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</si>
  <si>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</si>
  <si>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</si>
  <si>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</si>
  <si>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</si>
  <si>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</si>
  <si>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</si>
  <si>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</si>
  <si>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</si>
  <si>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</si>
  <si>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</si>
  <si>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</si>
  <si>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</si>
  <si>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</si>
  <si>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</si>
  <si>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</si>
  <si>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</si>
  <si>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</si>
  <si>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</si>
  <si>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</si>
  <si>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</si>
  <si>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</si>
  <si>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</si>
  <si>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</si>
  <si>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</si>
  <si>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</si>
  <si>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</si>
  <si>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</si>
  <si>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</si>
  <si>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</si>
  <si>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</si>
  <si>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</si>
  <si>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</si>
  <si>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</si>
  <si>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</si>
  <si>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</si>
  <si>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</si>
  <si>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</si>
  <si>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</si>
  <si>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</si>
  <si>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</si>
  <si>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</si>
  <si>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</si>
  <si>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</si>
  <si>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</si>
  <si>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</si>
  <si>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</si>
  <si>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</si>
  <si>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</si>
  <si>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</si>
  <si>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</si>
  <si>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</si>
  <si>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</si>
  <si>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</si>
  <si>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</si>
  <si>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</si>
  <si>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</si>
  <si>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</si>
  <si>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</si>
  <si>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</si>
  <si>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</si>
  <si>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</si>
  <si>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</si>
  <si>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</si>
  <si>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</si>
  <si>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</si>
  <si>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</si>
  <si>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</si>
  <si>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</si>
  <si>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</si>
  <si>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</si>
  <si>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</si>
  <si>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</si>
  <si>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</si>
  <si>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</si>
  <si>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</si>
  <si>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</si>
  <si>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</si>
  <si>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</si>
  <si>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</si>
  <si>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</si>
  <si>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</si>
  <si>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</si>
  <si>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</si>
  <si>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</si>
  <si>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</si>
  <si>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</si>
  <si>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</si>
  <si>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</si>
  <si>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</si>
  <si>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</si>
  <si>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</si>
  <si>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</si>
  <si>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</si>
  <si>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</si>
  <si>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</si>
  <si>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</si>
  <si>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</si>
  <si>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</si>
  <si>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</si>
  <si>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</si>
  <si>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</si>
  <si>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</si>
  <si>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</si>
  <si>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</si>
  <si>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</si>
  <si>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</si>
  <si>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</si>
  <si>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</si>
  <si>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</si>
  <si>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</si>
  <si>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</si>
  <si>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</si>
  <si>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</si>
  <si>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</si>
  <si>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</si>
  <si>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</si>
  <si>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</si>
  <si>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</si>
  <si>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</si>
  <si>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</si>
  <si>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</si>
  <si>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</si>
  <si>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</si>
  <si>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</si>
  <si>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</si>
  <si>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</si>
  <si>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</si>
  <si>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</si>
  <si>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</si>
  <si>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</si>
  <si>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</si>
  <si>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</si>
  <si>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</si>
  <si>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</si>
  <si>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</si>
  <si>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</si>
  <si>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</si>
  <si>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</si>
  <si>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</si>
  <si>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</si>
  <si>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</si>
  <si>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</si>
  <si>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</si>
  <si>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</si>
  <si>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</si>
  <si>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</si>
  <si>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</si>
  <si>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</si>
  <si>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</si>
  <si>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</si>
  <si>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</si>
  <si>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</si>
  <si>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</si>
  <si>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</si>
  <si>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</si>
  <si>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</si>
  <si>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</si>
  <si>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</si>
  <si>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</si>
  <si>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</si>
  <si>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</si>
  <si>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</si>
  <si>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</si>
  <si>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</si>
  <si>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</si>
  <si>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</si>
  <si>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</si>
  <si>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</si>
  <si>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</si>
  <si>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</si>
  <si>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</si>
  <si>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</si>
  <si>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</si>
  <si>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</si>
  <si>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</si>
  <si>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</si>
  <si>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</si>
  <si>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</si>
  <si>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</si>
  <si>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</si>
  <si>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</si>
  <si>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</si>
  <si>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</si>
  <si>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</si>
  <si>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</si>
  <si>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</si>
  <si>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</si>
  <si>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</si>
  <si>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</si>
  <si>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</si>
  <si>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</si>
  <si>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</si>
  <si>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</si>
  <si>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</si>
  <si>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</si>
  <si>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</si>
  <si>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</si>
  <si>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</si>
  <si>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</si>
  <si>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</si>
  <si>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</si>
  <si>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</si>
  <si>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</si>
  <si>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</si>
  <si>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</si>
  <si>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</si>
  <si>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</si>
  <si>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</si>
  <si>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</si>
  <si>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</si>
  <si>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</si>
  <si>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</si>
  <si>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</si>
  <si>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</si>
  <si>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</si>
  <si>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</si>
  <si>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</si>
  <si>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</si>
  <si>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</si>
  <si>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</si>
  <si>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</si>
  <si>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</si>
  <si>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</si>
  <si>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</si>
  <si>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</si>
  <si>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</si>
  <si>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</si>
  <si>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</si>
  <si>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</si>
  <si>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</si>
  <si>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</si>
  <si>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</si>
  <si>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</si>
  <si>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</si>
  <si>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</si>
  <si>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</si>
  <si>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</si>
  <si>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</si>
  <si>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</si>
  <si>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</si>
  <si>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</si>
  <si>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</si>
  <si>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</si>
  <si>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</si>
  <si>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</si>
  <si>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</si>
  <si>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</si>
  <si>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</si>
  <si>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</si>
  <si>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</si>
  <si>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</si>
  <si>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</si>
  <si>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</si>
  <si>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</si>
  <si>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</si>
  <si>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</si>
  <si>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</si>
  <si>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</si>
  <si>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</si>
  <si>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</si>
  <si>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</si>
  <si>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</si>
  <si>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</si>
  <si>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</si>
  <si>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</si>
  <si>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</si>
  <si>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</si>
  <si>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</si>
  <si>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</si>
  <si>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</si>
  <si>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</si>
  <si>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</si>
  <si>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</si>
  <si>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</si>
  <si>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</si>
  <si>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</si>
  <si>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</si>
  <si>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</si>
  <si>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</si>
  <si>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</si>
  <si>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</si>
  <si>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</si>
  <si>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</si>
  <si>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</si>
  <si>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</si>
  <si>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</si>
  <si>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</si>
  <si>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</si>
  <si>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</si>
  <si>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</si>
  <si>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</si>
  <si>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</si>
  <si>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</si>
  <si>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</si>
  <si>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</si>
  <si>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</si>
  <si>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</si>
  <si>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</si>
  <si>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</si>
  <si>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</si>
  <si>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</si>
  <si>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</si>
  <si>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</si>
  <si>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</si>
  <si>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</si>
  <si>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</si>
  <si>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</si>
  <si>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</si>
  <si>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</si>
  <si>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</si>
  <si>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</si>
  <si>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</si>
  <si>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</si>
  <si>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</si>
  <si>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</si>
  <si>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</si>
  <si>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</si>
  <si>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</si>
  <si>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</si>
  <si>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</si>
  <si>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</si>
  <si>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</si>
  <si>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</si>
  <si>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</si>
  <si>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</si>
  <si>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</si>
  <si>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</si>
  <si>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</si>
  <si>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</si>
  <si>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</si>
  <si>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</si>
  <si>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</si>
  <si>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</si>
  <si>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</si>
  <si>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</si>
  <si>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</si>
  <si>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</si>
  <si>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</si>
  <si>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</si>
  <si>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</si>
  <si>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</si>
  <si>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</si>
  <si>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</si>
  <si>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</si>
  <si>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</si>
  <si>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</si>
  <si>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</si>
  <si>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</si>
  <si>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</si>
  <si>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</si>
  <si>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</si>
  <si>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</si>
  <si>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</si>
  <si>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</si>
  <si>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</si>
  <si>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</si>
  <si>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</si>
  <si>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</si>
  <si>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</si>
  <si>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</si>
  <si>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</si>
  <si>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</si>
  <si>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</si>
  <si>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</si>
  <si>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</si>
  <si>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</si>
  <si>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</si>
  <si>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</si>
  <si>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</si>
  <si>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</si>
  <si>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</si>
  <si>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</si>
  <si>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</si>
  <si>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</si>
  <si>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</si>
  <si>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</si>
  <si>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</si>
  <si>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</si>
  <si>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</si>
  <si>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</si>
  <si>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</si>
  <si>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</si>
  <si>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</si>
  <si>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</si>
  <si>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</si>
  <si>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</si>
  <si>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</si>
  <si>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</si>
  <si>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</si>
  <si>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</si>
  <si>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</si>
  <si>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</si>
  <si>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</si>
  <si>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</si>
  <si>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</si>
  <si>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</si>
  <si>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</si>
  <si>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</si>
  <si>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</si>
  <si>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</si>
  <si>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</si>
  <si>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</si>
  <si>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</si>
  <si>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</si>
  <si>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</si>
  <si>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</si>
  <si>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</si>
  <si>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</si>
  <si>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</si>
  <si>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</si>
  <si>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</si>
  <si>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</si>
  <si>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</si>
  <si>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</si>
  <si>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</si>
  <si>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</si>
  <si>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</si>
  <si>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</si>
  <si>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</si>
  <si>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</si>
  <si>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</si>
  <si>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</si>
  <si>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</si>
  <si>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</si>
  <si>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</si>
  <si>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</si>
  <si>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</si>
  <si>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</si>
  <si>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</si>
  <si>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</si>
  <si>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</si>
  <si>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</si>
  <si>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</si>
  <si>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</si>
  <si>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</si>
  <si>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</si>
  <si>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</si>
  <si>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</si>
  <si>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</si>
  <si>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</si>
  <si>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</si>
  <si>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</si>
  <si>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</si>
  <si>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</si>
  <si>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</si>
  <si>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</si>
  <si>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</si>
  <si>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</si>
  <si>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</si>
  <si>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</si>
  <si>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</si>
  <si>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</si>
  <si>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</si>
  <si>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</si>
  <si>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</si>
  <si>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</si>
  <si>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</si>
  <si>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</si>
  <si>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</si>
  <si>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</si>
  <si>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</si>
  <si>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</si>
  <si>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</si>
  <si>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</si>
  <si>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</si>
  <si>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</si>
  <si>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</si>
  <si>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</si>
  <si>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</si>
  <si>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</si>
  <si>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</si>
  <si>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</si>
  <si>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</si>
  <si>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</si>
  <si>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</si>
  <si>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</si>
  <si>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</si>
  <si>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</si>
  <si>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</si>
  <si>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</si>
  <si>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</si>
  <si>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</si>
  <si>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</si>
  <si>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</si>
  <si>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</si>
  <si>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</si>
  <si>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</si>
  <si>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</si>
  <si>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</si>
  <si>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</si>
  <si>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</si>
  <si>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</si>
  <si>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</si>
  <si>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</si>
  <si>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</si>
  <si>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</si>
  <si>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</si>
  <si>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</si>
  <si>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</si>
  <si>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</si>
  <si>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</si>
  <si>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</si>
  <si>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</si>
  <si>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</si>
  <si>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</si>
  <si>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</si>
  <si>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</si>
  <si>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</si>
  <si>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</si>
  <si>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</si>
  <si>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</si>
  <si>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</si>
  <si>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</si>
  <si>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</si>
  <si>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</si>
  <si>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</si>
  <si>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</si>
  <si>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</si>
  <si>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</si>
  <si>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</si>
  <si>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</si>
  <si>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</si>
  <si>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</si>
  <si>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</si>
  <si>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</si>
  <si>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</si>
  <si>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</si>
  <si>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</si>
  <si>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</si>
  <si>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</si>
  <si>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</si>
  <si>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</si>
  <si>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</si>
  <si>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</si>
  <si>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</si>
  <si>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</si>
  <si>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</si>
  <si>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</si>
  <si>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</si>
  <si>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</si>
  <si>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</si>
  <si>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</si>
  <si>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</si>
  <si>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</si>
  <si>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</si>
  <si>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</si>
  <si>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</si>
  <si>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</si>
  <si>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</si>
  <si>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</si>
  <si>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</si>
  <si>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</si>
  <si>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</si>
  <si>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</si>
  <si>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</si>
  <si>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</si>
  <si>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</si>
  <si>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</si>
  <si>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</si>
  <si>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</si>
  <si>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</si>
  <si>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</si>
  <si>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</si>
  <si>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</si>
  <si>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</si>
  <si>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</si>
  <si>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</si>
  <si>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</si>
  <si>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</si>
  <si>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</si>
  <si>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</si>
  <si>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</si>
  <si>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</si>
  <si>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</si>
  <si>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</si>
  <si>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</si>
  <si>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</si>
  <si>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</si>
  <si>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</si>
  <si>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</si>
  <si>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</si>
  <si>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</si>
  <si>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</si>
  <si>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</si>
  <si>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</si>
  <si>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</si>
  <si>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</si>
  <si>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</si>
  <si>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</si>
  <si>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</si>
  <si>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</si>
  <si>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</si>
  <si>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</si>
  <si>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</si>
  <si>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</si>
  <si>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</si>
  <si>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</si>
  <si>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</si>
  <si>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</si>
  <si>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</si>
  <si>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</si>
  <si>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</si>
  <si>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</si>
  <si>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</si>
  <si>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</si>
  <si>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</si>
  <si>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</si>
  <si>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</si>
  <si>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</si>
  <si>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</si>
  <si>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</si>
  <si>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</si>
  <si>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</si>
  <si>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</si>
  <si>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</si>
  <si>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</si>
  <si>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</si>
  <si>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</si>
  <si>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</si>
  <si>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</si>
  <si>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</si>
  <si>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</si>
  <si>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</si>
  <si>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</si>
  <si>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</si>
  <si>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</si>
  <si>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</si>
  <si>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</si>
  <si>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</si>
  <si>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</si>
  <si>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</si>
  <si>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</si>
  <si>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</si>
  <si>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</si>
  <si>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</si>
  <si>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</si>
  <si>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</si>
  <si>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</si>
  <si>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</si>
  <si>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</si>
  <si>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</si>
  <si>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</si>
  <si>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</si>
  <si>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</si>
  <si>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</si>
  <si>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</si>
  <si>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</si>
  <si>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</si>
  <si>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</si>
  <si>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</si>
  <si>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</si>
  <si>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</si>
  <si>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</si>
  <si>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</si>
  <si>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</si>
  <si>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</si>
  <si>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</si>
  <si>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</si>
  <si>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</si>
  <si>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</si>
  <si>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</si>
  <si>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</si>
  <si>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</si>
  <si>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</si>
  <si>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</si>
  <si>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</si>
  <si>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</si>
  <si>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</si>
  <si>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</si>
  <si>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</si>
  <si>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</si>
  <si>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</si>
  <si>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</si>
  <si>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</si>
  <si>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</si>
  <si>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</si>
  <si>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</si>
  <si>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</si>
  <si>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</si>
  <si>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</si>
  <si>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</si>
  <si>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</si>
  <si>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</si>
  <si>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</si>
  <si>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</si>
  <si>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</si>
  <si>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</si>
  <si>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</si>
  <si>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</si>
  <si>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</si>
  <si>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</si>
  <si>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</si>
  <si>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</si>
  <si>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</si>
  <si>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</si>
  <si>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</si>
  <si>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</si>
  <si>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</si>
  <si>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</si>
  <si>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</si>
  <si>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</si>
  <si>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</si>
  <si>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</si>
  <si>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</si>
  <si>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</si>
  <si>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</si>
  <si>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</si>
  <si>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</si>
  <si>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</si>
  <si>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</si>
  <si>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</si>
  <si>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</si>
  <si>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</si>
  <si>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</si>
  <si>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</si>
  <si>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</si>
  <si>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</si>
  <si>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</si>
  <si>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</si>
  <si>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</si>
  <si>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</si>
  <si>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</si>
  <si>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</si>
  <si>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</si>
  <si>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</si>
  <si>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</si>
  <si>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</si>
  <si>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</si>
  <si>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</si>
  <si>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</si>
  <si>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</si>
  <si>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</si>
  <si>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</si>
  <si>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</si>
  <si>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</si>
  <si>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</si>
  <si>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</si>
  <si>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</si>
  <si>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</si>
  <si>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</si>
  <si>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</si>
  <si>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</si>
  <si>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</si>
  <si>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</si>
  <si>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</si>
  <si>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</si>
  <si>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</si>
  <si>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</si>
  <si>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</si>
  <si>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</si>
  <si>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</si>
  <si>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</si>
  <si>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</si>
  <si>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</si>
  <si>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</si>
  <si>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</si>
  <si>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</si>
  <si>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</si>
  <si>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</si>
  <si>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</si>
  <si>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</si>
  <si>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</si>
  <si>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</si>
  <si>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</si>
  <si>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</si>
  <si>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</si>
  <si>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</si>
  <si>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</si>
  <si>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</si>
  <si>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</si>
  <si>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</si>
  <si>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</si>
  <si>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</si>
  <si>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</si>
  <si>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</si>
  <si>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</si>
  <si>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</si>
  <si>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</si>
  <si>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</si>
  <si>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</si>
  <si>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</si>
  <si>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</si>
  <si>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</si>
  <si>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</si>
  <si>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</si>
  <si>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</si>
  <si>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</si>
  <si>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</si>
  <si>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</si>
  <si>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</si>
  <si>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</si>
  <si>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</si>
  <si>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</si>
  <si>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</si>
  <si>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</si>
  <si>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</si>
  <si>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</si>
  <si>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</si>
  <si>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</si>
  <si>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</si>
  <si>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</si>
  <si>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</si>
  <si>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</si>
  <si>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</si>
  <si>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</si>
  <si>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</si>
  <si>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</si>
  <si>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</si>
  <si>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</si>
  <si>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</si>
  <si>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</si>
  <si>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</si>
  <si>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</si>
  <si>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</si>
  <si>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</si>
  <si>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</si>
  <si>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</si>
  <si>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</si>
  <si>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</si>
  <si>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</si>
  <si>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</si>
  <si>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</si>
  <si>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</si>
  <si>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</si>
  <si>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</si>
  <si>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</si>
  <si>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</si>
  <si>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</si>
  <si>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</si>
  <si>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</si>
  <si>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</si>
  <si>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</si>
  <si>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</si>
  <si>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</si>
  <si>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</si>
  <si>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</si>
  <si>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</si>
  <si>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</si>
  <si>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</si>
  <si>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</si>
  <si>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</si>
  <si>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</si>
  <si>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</si>
  <si>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</si>
  <si>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</si>
  <si>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</si>
  <si>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</si>
  <si>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</si>
  <si>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</si>
  <si>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</si>
  <si>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</si>
  <si>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</si>
  <si>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</si>
  <si>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</si>
  <si>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</si>
  <si>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</si>
  <si>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</si>
  <si>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</si>
  <si>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</si>
  <si>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</si>
  <si>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</si>
  <si>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</si>
  <si>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</si>
  <si>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</si>
  <si>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</si>
  <si>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</si>
  <si>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</si>
  <si>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</si>
  <si>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</si>
  <si>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</si>
  <si>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</si>
  <si>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</si>
  <si>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</si>
  <si>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</si>
  <si>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</si>
  <si>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</si>
  <si>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</si>
  <si>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</si>
  <si>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</si>
  <si>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</si>
  <si>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</si>
  <si>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</si>
  <si>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</si>
  <si>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</si>
  <si>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</si>
  <si>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</si>
  <si>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</si>
  <si>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</si>
  <si>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</si>
  <si>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</si>
  <si>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</si>
  <si>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</si>
  <si>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</si>
  <si>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</si>
  <si>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</si>
  <si>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</si>
  <si>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</si>
  <si>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</si>
  <si>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</si>
  <si>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</si>
  <si>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</si>
  <si>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</si>
  <si>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</si>
  <si>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</si>
  <si>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</si>
  <si>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</si>
  <si>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</si>
  <si>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</si>
  <si>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</si>
  <si>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</si>
  <si>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</si>
  <si>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</si>
  <si>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</si>
  <si>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</si>
  <si>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</si>
  <si>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</si>
  <si>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</si>
  <si>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</si>
  <si>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</si>
  <si>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</si>
  <si>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</si>
  <si>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</si>
  <si>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</si>
  <si>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</si>
  <si>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</si>
  <si>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</si>
  <si>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</si>
  <si>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</si>
  <si>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</si>
  <si>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</si>
  <si>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</si>
  <si>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</si>
  <si>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</si>
  <si>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</si>
  <si>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</si>
  <si>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</si>
  <si>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</si>
  <si>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</si>
  <si>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</si>
  <si>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</si>
  <si>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</si>
  <si>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</si>
  <si>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</si>
  <si>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</si>
  <si>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</si>
  <si>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</si>
  <si>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</si>
  <si>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</si>
  <si>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</si>
  <si>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</si>
  <si>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</si>
  <si>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</si>
  <si>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</si>
  <si>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</si>
  <si>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</si>
  <si>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</si>
  <si>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</si>
  <si>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</si>
  <si>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</si>
  <si>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</si>
  <si>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</si>
  <si>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</si>
  <si>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</si>
  <si>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</si>
  <si>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</si>
  <si>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</si>
  <si>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</si>
  <si>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</si>
  <si>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</si>
  <si>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</si>
  <si>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</si>
  <si>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</si>
  <si>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</si>
  <si>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</si>
  <si>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</si>
  <si>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</si>
  <si>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</si>
  <si>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</si>
  <si>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</si>
  <si>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</si>
  <si>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</si>
  <si>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</si>
  <si>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</si>
  <si>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</si>
  <si>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</si>
  <si>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</si>
  <si>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</si>
  <si>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</si>
  <si>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</si>
  <si>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</si>
  <si>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</si>
  <si>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</si>
  <si>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</si>
  <si>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</si>
  <si>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</si>
  <si>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</si>
  <si>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</si>
  <si>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</si>
  <si>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</si>
  <si>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</si>
  <si>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</si>
  <si>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</si>
  <si>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</si>
  <si>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</si>
  <si>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</si>
  <si>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</si>
  <si>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</si>
  <si>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</si>
  <si>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</si>
  <si>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</si>
  <si>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</si>
  <si>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</si>
  <si>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</si>
  <si>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</si>
  <si>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</si>
  <si>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</si>
  <si>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</si>
  <si>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</si>
  <si>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</si>
  <si>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</si>
  <si>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</si>
  <si>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</si>
  <si>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</si>
  <si>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</si>
  <si>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</si>
  <si>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</si>
  <si>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</si>
  <si>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</si>
  <si>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</si>
  <si>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</si>
  <si>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</si>
  <si>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</si>
  <si>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</si>
  <si>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</si>
  <si>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</si>
  <si>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</si>
  <si>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</si>
  <si>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</si>
  <si>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</si>
  <si>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</si>
  <si>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</si>
  <si>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</si>
  <si>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</si>
  <si>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</si>
  <si>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</si>
  <si>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</si>
  <si>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</si>
  <si>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</si>
  <si>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</si>
  <si>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</si>
  <si>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</si>
  <si>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</si>
  <si>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</si>
  <si>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</si>
  <si>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</si>
  <si>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</si>
  <si>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</si>
  <si>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</si>
  <si>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</si>
  <si>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</si>
  <si>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</si>
  <si>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</si>
  <si>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</si>
  <si>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</si>
  <si>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</si>
  <si>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</si>
  <si>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</si>
  <si>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</si>
  <si>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</si>
  <si>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</si>
  <si>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</si>
  <si>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</si>
  <si>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</si>
  <si>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</si>
  <si>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</si>
  <si>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</si>
  <si>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</si>
  <si>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</si>
  <si>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</si>
  <si>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</si>
  <si>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</si>
  <si>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</si>
  <si>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</si>
  <si>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</si>
  <si>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</si>
  <si>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</si>
  <si>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</si>
  <si>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</si>
  <si>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</si>
  <si>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</si>
  <si>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</si>
  <si>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</si>
  <si>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</si>
  <si>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</si>
  <si>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</si>
  <si>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</si>
  <si>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</si>
  <si>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</si>
  <si>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</si>
  <si>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</si>
  <si>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</si>
  <si>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</si>
  <si>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</si>
  <si>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</si>
  <si>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</si>
  <si>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</si>
  <si>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</si>
  <si>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</si>
  <si>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</si>
  <si>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</si>
  <si>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</si>
  <si>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</si>
  <si>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</si>
  <si>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</si>
  <si>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</si>
  <si>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</si>
  <si>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</si>
  <si>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</si>
  <si>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</si>
  <si>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</si>
  <si>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</si>
  <si>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</si>
  <si>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</si>
  <si>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</si>
  <si>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</si>
  <si>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</si>
  <si>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</si>
  <si>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</si>
  <si>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</si>
  <si>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</si>
  <si>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</si>
  <si>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</si>
  <si>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</si>
  <si>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</si>
  <si>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</si>
  <si>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</si>
  <si>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</si>
  <si>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</si>
  <si>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</si>
  <si>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</si>
  <si>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</si>
  <si>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</si>
  <si>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</si>
  <si>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</si>
  <si>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</si>
  <si>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</si>
  <si>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</si>
  <si>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</si>
  <si>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</si>
  <si>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</si>
  <si>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</si>
  <si>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</si>
  <si>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</si>
  <si>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</si>
  <si>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</si>
  <si>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</si>
  <si>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</si>
  <si>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</si>
  <si>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</si>
  <si>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</si>
  <si>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</si>
  <si>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</si>
  <si>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</si>
  <si>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</si>
  <si>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</si>
  <si>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</si>
  <si>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</si>
  <si>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</si>
  <si>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</si>
  <si>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</si>
  <si>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</si>
  <si>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</si>
  <si>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</si>
  <si>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</si>
  <si>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</si>
  <si>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</si>
  <si>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</si>
  <si>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</si>
  <si>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</si>
  <si>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</si>
  <si>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</si>
  <si>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</si>
  <si>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</si>
  <si>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</si>
  <si>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</si>
  <si>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</si>
  <si>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</si>
  <si>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</si>
  <si>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</si>
  <si>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</si>
  <si>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</si>
  <si>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</si>
  <si>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</si>
  <si>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</si>
  <si>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</si>
  <si>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</si>
  <si>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</si>
  <si>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</si>
  <si>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</si>
  <si>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</si>
  <si>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</si>
  <si>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</si>
  <si>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</si>
  <si>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</si>
  <si>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</si>
  <si>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</si>
  <si>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</si>
  <si>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</si>
  <si>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</si>
  <si>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</si>
  <si>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</si>
  <si>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</si>
  <si>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</si>
  <si>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</si>
  <si>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</si>
  <si>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</si>
  <si>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</si>
  <si>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</si>
  <si>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</si>
  <si>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</si>
  <si>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</si>
  <si>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</si>
  <si>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</si>
  <si>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</si>
  <si>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</si>
  <si>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</si>
  <si>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</si>
  <si>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</si>
  <si>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</si>
  <si>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</si>
  <si>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</si>
  <si>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</si>
  <si>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</si>
  <si>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</si>
  <si>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</si>
  <si>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</si>
  <si>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</si>
  <si>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</si>
  <si>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</si>
  <si>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</si>
  <si>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</si>
  <si>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</si>
  <si>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</si>
  <si>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</si>
  <si>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</si>
  <si>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</si>
  <si>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</si>
  <si>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</si>
  <si>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</si>
  <si>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</si>
  <si>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</si>
  <si>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</si>
  <si>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</si>
  <si>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</si>
  <si>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</si>
  <si>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</si>
  <si>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</si>
  <si>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</si>
  <si>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</si>
  <si>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</si>
  <si>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</si>
  <si>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</si>
  <si>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</si>
  <si>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</si>
  <si>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</si>
  <si>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</si>
  <si>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</si>
  <si>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</si>
  <si>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</si>
  <si>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</si>
  <si>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</si>
  <si>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</si>
  <si>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</si>
  <si>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</si>
  <si>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</si>
  <si>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</si>
  <si>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</si>
  <si>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</si>
  <si>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</si>
  <si>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</si>
  <si>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</si>
  <si>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</si>
  <si>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</si>
  <si>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</si>
  <si>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</si>
  <si>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</si>
  <si>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</si>
  <si>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</si>
  <si>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</si>
  <si>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</si>
  <si>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</si>
  <si>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</si>
  <si>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</si>
  <si>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</si>
  <si>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</si>
  <si>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</si>
  <si>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</si>
  <si>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</si>
  <si>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</si>
  <si>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</si>
  <si>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</si>
  <si>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</si>
  <si>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</si>
  <si>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</si>
  <si>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</si>
  <si>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</si>
  <si>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</si>
  <si>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</si>
  <si>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</si>
  <si>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</si>
  <si>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</si>
  <si>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</si>
  <si>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</si>
  <si>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</si>
  <si>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</si>
  <si>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</si>
  <si>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</si>
  <si>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</si>
  <si>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</si>
  <si>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</si>
  <si>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</si>
  <si>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</si>
  <si>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</si>
  <si>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</si>
  <si>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</si>
  <si>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</si>
  <si>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</si>
  <si>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</si>
  <si>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</si>
  <si>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</si>
  <si>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</si>
  <si>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</si>
  <si>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</si>
  <si>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</si>
  <si>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</si>
  <si>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</si>
  <si>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</si>
  <si>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</si>
  <si>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</si>
  <si>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</si>
  <si>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</si>
  <si>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</si>
  <si>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</si>
  <si>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</si>
  <si>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</si>
  <si>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</si>
  <si>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</si>
  <si>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</si>
  <si>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</si>
  <si>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</si>
  <si>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</si>
  <si>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</si>
  <si>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</si>
  <si>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</si>
  <si>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</si>
  <si>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</si>
  <si>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</si>
  <si>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</si>
  <si>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</si>
  <si>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</si>
  <si>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</si>
  <si>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</si>
  <si>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</si>
  <si>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</si>
  <si>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</si>
  <si>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</si>
  <si>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</si>
  <si>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</si>
  <si>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</si>
  <si>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</si>
  <si>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</si>
  <si>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</si>
  <si>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</si>
  <si>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</si>
  <si>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</si>
  <si>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</si>
  <si>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</si>
  <si>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</si>
  <si>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</si>
  <si>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</si>
  <si>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</si>
  <si>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</si>
  <si>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</si>
  <si>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</si>
  <si>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</si>
  <si>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</si>
  <si>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</si>
  <si>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</si>
  <si>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</si>
  <si>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</si>
  <si>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</si>
  <si>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</si>
  <si>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</si>
  <si>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</si>
  <si>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</si>
  <si>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</si>
  <si>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</si>
  <si>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</si>
  <si>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</si>
  <si>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</si>
  <si>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</si>
  <si>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</si>
  <si>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</si>
  <si>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</si>
  <si>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</si>
  <si>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</si>
  <si>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</si>
  <si>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</si>
  <si>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</si>
  <si>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</si>
  <si>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</si>
  <si>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</si>
  <si>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</si>
  <si>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</si>
  <si>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</si>
  <si>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</si>
  <si>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</si>
  <si>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</si>
  <si>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</si>
  <si>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</si>
  <si>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</si>
  <si>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</si>
  <si>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</si>
  <si>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</si>
  <si>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</si>
  <si>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</si>
  <si>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</si>
  <si>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</si>
  <si>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</si>
  <si>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</si>
  <si>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</si>
  <si>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</si>
  <si>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</si>
  <si>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</si>
  <si>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</si>
  <si>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</si>
  <si>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</si>
  <si>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</si>
  <si>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</si>
  <si>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</si>
  <si>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</si>
  <si>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</si>
  <si>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</si>
  <si>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</si>
  <si>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</si>
  <si>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</si>
  <si>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</si>
  <si>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</si>
  <si>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</si>
  <si>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</si>
  <si>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</si>
  <si>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</si>
  <si>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</si>
  <si>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</si>
  <si>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</si>
  <si>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</si>
  <si>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</si>
  <si>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</si>
  <si>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</si>
  <si>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</si>
  <si>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</si>
  <si>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</si>
  <si>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</si>
  <si>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</si>
  <si>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</si>
  <si>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</si>
  <si>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</si>
  <si>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</si>
  <si>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</si>
  <si>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</si>
  <si>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</si>
  <si>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</si>
  <si>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</si>
  <si>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</si>
  <si>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</si>
  <si>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</si>
  <si>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</si>
  <si>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</si>
  <si>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</si>
  <si>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</si>
  <si>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</si>
  <si>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</si>
  <si>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</si>
  <si>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</si>
  <si>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</si>
  <si>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</si>
  <si>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</si>
  <si>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</si>
  <si>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</si>
  <si>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</si>
  <si>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</si>
  <si>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</si>
  <si>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</si>
  <si>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</si>
  <si>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</si>
  <si>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</si>
  <si>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</si>
  <si>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</si>
  <si>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</si>
  <si>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</si>
  <si>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</si>
  <si>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</si>
  <si>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</si>
  <si>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</si>
  <si>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</si>
  <si>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</si>
  <si>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</si>
  <si>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</si>
  <si>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</si>
  <si>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</si>
  <si>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</si>
  <si>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</si>
  <si>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</si>
  <si>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</si>
  <si>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</si>
  <si>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</si>
  <si>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</si>
  <si>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</si>
  <si>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</si>
  <si>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</si>
  <si>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</si>
  <si>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</si>
  <si>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</si>
  <si>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</si>
  <si>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</si>
  <si>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</si>
  <si>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</si>
  <si>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</si>
  <si>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</si>
  <si>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</si>
  <si>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</si>
  <si>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</si>
  <si>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</si>
  <si>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</si>
  <si>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</si>
  <si>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</si>
  <si>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</si>
  <si>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</si>
  <si>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</si>
  <si>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</si>
  <si>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</si>
  <si>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</si>
  <si>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</si>
  <si>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</si>
  <si>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</si>
  <si>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</si>
  <si>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</si>
  <si>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</si>
  <si>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</si>
  <si>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</si>
  <si>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</si>
  <si>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</si>
  <si>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</si>
  <si>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</si>
  <si>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</si>
  <si>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</si>
  <si>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</si>
  <si>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</si>
  <si>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</si>
  <si>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</si>
  <si>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</si>
  <si>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</si>
  <si>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</si>
  <si>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</si>
  <si>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</si>
  <si>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</si>
  <si>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</si>
  <si>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</si>
  <si>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</si>
  <si>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</si>
  <si>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</si>
  <si>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</si>
  <si>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</si>
  <si>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</si>
  <si>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</si>
  <si>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</si>
  <si>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</si>
  <si>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</si>
  <si>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</si>
  <si>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</si>
  <si>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</si>
  <si>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</si>
  <si>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</si>
  <si>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</si>
  <si>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</si>
  <si>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</si>
  <si>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</si>
  <si>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</si>
  <si>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</si>
  <si>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</si>
  <si>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</si>
  <si>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</si>
  <si>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</si>
  <si>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</si>
  <si>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</si>
  <si>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</si>
  <si>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</si>
  <si>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</si>
  <si>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</si>
  <si>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</si>
  <si>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</si>
  <si>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</si>
  <si>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</si>
  <si>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</si>
  <si>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</si>
  <si>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</si>
  <si>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</si>
  <si>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</si>
  <si>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</si>
  <si>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</si>
  <si>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</si>
  <si>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</si>
  <si>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</si>
  <si>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</si>
  <si>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</si>
  <si>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</si>
  <si>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</si>
  <si>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</si>
  <si>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</si>
  <si>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</si>
  <si>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</si>
  <si>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</si>
  <si>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</si>
  <si>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</si>
  <si>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</si>
  <si>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</si>
  <si>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</si>
  <si>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</si>
  <si>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</si>
  <si>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</si>
  <si>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</si>
  <si>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</si>
  <si>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</si>
  <si>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</si>
  <si>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</si>
  <si>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</si>
  <si>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</si>
  <si>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</si>
  <si>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</si>
  <si>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</si>
  <si>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</si>
  <si>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</si>
  <si>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</si>
  <si>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</si>
  <si>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</si>
  <si>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</si>
  <si>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</si>
  <si>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</si>
  <si>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</si>
  <si>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</si>
  <si>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</si>
  <si>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</si>
  <si>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</si>
  <si>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</si>
  <si>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</si>
  <si>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</si>
  <si>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</si>
  <si>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</si>
  <si>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</si>
  <si>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</si>
  <si>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</si>
  <si>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</si>
  <si>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</si>
  <si>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</si>
  <si>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</si>
  <si>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</si>
  <si>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</si>
  <si>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</si>
  <si>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</si>
  <si>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</si>
  <si>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</si>
  <si>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</si>
  <si>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</si>
  <si>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</si>
  <si>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</si>
  <si>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</si>
  <si>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</si>
  <si>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</si>
  <si>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</si>
  <si>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</si>
  <si>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</si>
  <si>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</si>
  <si>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</si>
  <si>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</si>
  <si>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</si>
  <si>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</si>
  <si>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</si>
  <si>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</si>
  <si>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</si>
  <si>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</si>
  <si>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</si>
  <si>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</si>
  <si>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</si>
  <si>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</si>
  <si>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</si>
  <si>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</si>
  <si>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</si>
  <si>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</si>
  <si>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</si>
  <si>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</si>
  <si>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</si>
  <si>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</si>
  <si>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</si>
  <si>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</si>
  <si>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</si>
  <si>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</si>
  <si>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</si>
  <si>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</si>
  <si>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</si>
  <si>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</si>
  <si>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</si>
  <si>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</si>
  <si>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</si>
  <si>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</si>
  <si>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</si>
  <si>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</si>
  <si>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</si>
  <si>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</si>
  <si>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</si>
  <si>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</si>
  <si>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</si>
  <si>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</si>
  <si>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</si>
  <si>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</si>
  <si>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</si>
  <si>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</si>
  <si>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</si>
  <si>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</si>
  <si>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</si>
  <si>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</si>
  <si>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</si>
  <si>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</si>
  <si>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</si>
  <si>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</si>
  <si>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</si>
  <si>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</si>
  <si>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</si>
  <si>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</si>
  <si>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</si>
  <si>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</si>
  <si>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</si>
  <si>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</si>
  <si>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</si>
  <si>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</si>
  <si>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</si>
  <si>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</si>
  <si>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</si>
  <si>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</si>
  <si>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</si>
  <si>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</si>
  <si>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</si>
  <si>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</si>
  <si>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</si>
  <si>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</si>
  <si>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</si>
  <si>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</si>
  <si>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</si>
  <si>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</si>
  <si>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</si>
  <si>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</si>
  <si>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</si>
  <si>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</si>
  <si>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</si>
  <si>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</si>
  <si>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</si>
  <si>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</si>
  <si>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</si>
  <si>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</si>
  <si>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</si>
  <si>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</si>
  <si>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</si>
  <si>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</si>
  <si>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</si>
  <si>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</si>
  <si>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</si>
  <si>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</si>
  <si>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</si>
  <si>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</si>
  <si>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</si>
  <si>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</si>
  <si>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</si>
  <si>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</si>
  <si>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</si>
  <si>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</si>
  <si>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</si>
  <si>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</si>
  <si>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</si>
  <si>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</si>
  <si>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</si>
  <si>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</si>
  <si>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</si>
  <si>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</si>
  <si>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</si>
  <si>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</si>
  <si>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</si>
  <si>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</si>
  <si>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</si>
  <si>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</si>
  <si>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</si>
  <si>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</si>
  <si>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</si>
  <si>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</si>
  <si>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</si>
  <si>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</si>
  <si>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</si>
  <si>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</si>
  <si>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</si>
  <si>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</si>
  <si>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</si>
  <si>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</si>
  <si>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</si>
  <si>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</si>
  <si>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</si>
  <si>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</si>
  <si>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</si>
  <si>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</si>
  <si>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</si>
  <si>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</si>
  <si>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</si>
  <si>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</si>
  <si>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</si>
  <si>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</si>
  <si>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</si>
  <si>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</si>
  <si>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</si>
  <si>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</si>
  <si>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</si>
  <si>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</si>
  <si>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</si>
  <si>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</si>
  <si>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</si>
  <si>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</si>
  <si>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</si>
  <si>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</si>
  <si>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</si>
  <si>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</si>
  <si>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</si>
  <si>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</si>
  <si>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</si>
  <si>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</si>
  <si>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</si>
  <si>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</si>
  <si>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</si>
  <si>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</si>
  <si>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</si>
  <si>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</si>
  <si>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</si>
  <si>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</si>
  <si>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</si>
  <si>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</si>
  <si>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</si>
  <si>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</si>
  <si>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</si>
  <si>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</si>
  <si>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</si>
  <si>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</si>
  <si>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</si>
  <si>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</si>
  <si>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</si>
  <si>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</si>
  <si>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</si>
  <si>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</si>
  <si>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</si>
  <si>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</si>
  <si>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</si>
  <si>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</si>
  <si>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</si>
  <si>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</si>
  <si>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</si>
  <si>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</si>
  <si>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</si>
  <si>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</si>
  <si>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</si>
  <si>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</si>
  <si>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</si>
  <si>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</si>
  <si>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</si>
  <si>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</si>
  <si>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</si>
  <si>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</si>
  <si>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</si>
  <si>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</si>
  <si>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</si>
  <si>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</si>
  <si>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</si>
  <si>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</si>
  <si>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</si>
  <si>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</si>
  <si>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</si>
  <si>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</si>
  <si>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</si>
  <si>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</si>
  <si>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</si>
  <si>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</si>
  <si>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</si>
  <si>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</si>
  <si>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</si>
  <si>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</si>
  <si>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</si>
  <si>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</si>
  <si>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</si>
  <si>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</si>
  <si>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</si>
  <si>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</si>
  <si>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</si>
  <si>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</si>
  <si>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</si>
  <si>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</si>
  <si>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</si>
  <si>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</si>
  <si>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</si>
  <si>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</si>
  <si>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</si>
  <si>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</si>
  <si>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</si>
  <si>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</si>
  <si>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</si>
  <si>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</si>
  <si>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</si>
  <si>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</si>
  <si>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</si>
  <si>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</si>
  <si>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</si>
  <si>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</si>
  <si>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</si>
  <si>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</si>
  <si>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</si>
  <si>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</si>
  <si>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</si>
  <si>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</si>
  <si>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</si>
  <si>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</si>
  <si>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</si>
  <si>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</si>
  <si>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</si>
  <si>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</si>
  <si>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</si>
  <si>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</si>
  <si>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</si>
  <si>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</si>
  <si>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</si>
  <si>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</si>
  <si>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</si>
  <si>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</si>
  <si>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</si>
  <si>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</si>
  <si>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</si>
  <si>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</si>
  <si>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</si>
  <si>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</si>
  <si>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</si>
  <si>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</si>
  <si>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</si>
  <si>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</si>
  <si>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</si>
  <si>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</si>
  <si>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</si>
  <si>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</si>
  <si>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</si>
  <si>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</si>
  <si>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</si>
  <si>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</si>
  <si>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</si>
  <si>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</si>
  <si>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</si>
  <si>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</si>
  <si>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</si>
  <si>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</si>
  <si>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</si>
  <si>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</si>
  <si>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</si>
  <si>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</si>
  <si>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</si>
  <si>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</si>
  <si>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</si>
  <si>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</si>
  <si>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</si>
  <si>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</si>
  <si>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</si>
  <si>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</si>
  <si>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</si>
  <si>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</si>
  <si>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</si>
  <si>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</si>
  <si>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</si>
  <si>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</si>
  <si>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</si>
  <si>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</si>
  <si>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</si>
  <si>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</si>
  <si>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</si>
  <si>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</si>
  <si>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</si>
  <si>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</si>
  <si>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</si>
  <si>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</si>
  <si>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</si>
  <si>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</si>
  <si>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</si>
  <si>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</si>
  <si>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</si>
  <si>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</si>
  <si>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</si>
  <si>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</si>
  <si>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</si>
  <si>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</si>
  <si>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</si>
  <si>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</si>
  <si>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</si>
  <si>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</si>
  <si>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</si>
  <si>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</si>
  <si>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</si>
  <si>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</si>
  <si>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</si>
  <si>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</si>
  <si>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</si>
  <si>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</si>
  <si>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</si>
  <si>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</si>
  <si>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</si>
  <si>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</si>
  <si>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</si>
  <si>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</si>
  <si>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</si>
  <si>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</si>
  <si>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</si>
  <si>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</si>
  <si>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</si>
  <si>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</si>
  <si>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</si>
  <si>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</si>
  <si>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</si>
  <si>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</si>
  <si>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</si>
  <si>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</si>
  <si>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</si>
  <si>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</si>
  <si>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</si>
  <si>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</si>
  <si>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</si>
  <si>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</si>
  <si>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</si>
  <si>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</si>
  <si>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</si>
  <si>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</si>
  <si>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</si>
  <si>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</si>
  <si>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</si>
  <si>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</si>
  <si>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</si>
  <si>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</si>
  <si>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</si>
  <si>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</si>
  <si>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</si>
  <si>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</si>
  <si>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</si>
  <si>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</si>
  <si>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</si>
  <si>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</si>
  <si>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</si>
  <si>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</si>
  <si>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</si>
  <si>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</si>
  <si>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</si>
  <si>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</si>
  <si>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</si>
  <si>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</si>
  <si>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</si>
  <si>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</si>
  <si>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</si>
  <si>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</si>
  <si>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</si>
  <si>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</si>
  <si>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</si>
  <si>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</si>
  <si>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</si>
  <si>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</si>
  <si>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</si>
  <si>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</si>
  <si>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</si>
  <si>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</si>
  <si>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</si>
  <si>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</si>
  <si>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</si>
  <si>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</si>
  <si>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</si>
  <si>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</si>
  <si>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</si>
  <si>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</si>
  <si>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</si>
  <si>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</si>
  <si>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</si>
  <si>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</si>
  <si>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</si>
  <si>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</si>
  <si>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</si>
  <si>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</si>
  <si>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</si>
  <si>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</si>
  <si>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</si>
  <si>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</si>
  <si>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</si>
  <si>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</si>
  <si>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</si>
  <si>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</si>
  <si>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</si>
  <si>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</si>
  <si>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</si>
  <si>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</si>
  <si>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</si>
  <si>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</si>
  <si>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</si>
  <si>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</si>
  <si>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</si>
  <si>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</si>
  <si>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</si>
  <si>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</si>
  <si>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</si>
  <si>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</si>
  <si>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</si>
  <si>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</si>
  <si>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</si>
  <si>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</si>
  <si>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</si>
  <si>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</si>
  <si>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</si>
  <si>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</si>
  <si>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</si>
  <si>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</si>
  <si>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</si>
  <si>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</si>
  <si>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</si>
  <si>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</si>
  <si>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</si>
  <si>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</si>
  <si>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</si>
  <si>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</si>
  <si>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</si>
  <si>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</si>
  <si>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</si>
  <si>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</si>
  <si>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</si>
  <si>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</si>
  <si>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</si>
  <si>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</si>
  <si>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</si>
  <si>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</si>
  <si>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</si>
  <si>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</si>
  <si>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</si>
  <si>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</si>
  <si>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</si>
  <si>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</si>
  <si>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</si>
  <si>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</si>
  <si>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</si>
  <si>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</si>
  <si>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</si>
  <si>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</si>
  <si>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</si>
  <si>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</si>
  <si>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</si>
  <si>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</si>
  <si>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</si>
  <si>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</si>
  <si>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</si>
  <si>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</si>
  <si>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</si>
  <si>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</si>
  <si>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</si>
  <si>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</si>
  <si>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</si>
  <si>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</si>
  <si>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</si>
  <si>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</si>
  <si>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</si>
  <si>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</si>
  <si>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</si>
  <si>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</si>
  <si>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</si>
  <si>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</si>
  <si>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</si>
  <si>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</si>
  <si>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</si>
  <si>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</si>
  <si>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</si>
  <si>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</si>
  <si>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</si>
  <si>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</si>
  <si>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</si>
  <si>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</si>
  <si>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</si>
  <si>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</si>
  <si>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</si>
  <si>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</si>
  <si>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</si>
  <si>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</si>
  <si>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</si>
  <si>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</si>
  <si>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</si>
  <si>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</si>
  <si>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</si>
  <si>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</si>
  <si>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</si>
  <si>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</si>
  <si>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</si>
  <si>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</si>
  <si>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</si>
  <si>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</si>
  <si>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</si>
  <si>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</si>
  <si>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</si>
  <si>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</si>
  <si>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</si>
  <si>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</si>
  <si>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</si>
  <si>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</si>
  <si>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</si>
  <si>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</si>
  <si>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</si>
  <si>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</si>
  <si>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</si>
  <si>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</si>
  <si>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</si>
  <si>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</si>
  <si>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</si>
  <si>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</si>
  <si>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</si>
  <si>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</si>
  <si>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</si>
  <si>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</si>
  <si>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</si>
  <si>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</si>
  <si>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</si>
  <si>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</si>
  <si>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</si>
  <si>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</si>
  <si>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</si>
  <si>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</si>
  <si>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</si>
  <si>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</si>
  <si>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</si>
  <si>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</si>
  <si>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</si>
  <si>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</si>
  <si>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</si>
  <si>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</si>
  <si>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</si>
  <si>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</si>
  <si>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</si>
  <si>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</si>
  <si>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</si>
  <si>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</si>
  <si>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</si>
  <si>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</si>
  <si>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</si>
  <si>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</si>
  <si>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</si>
  <si>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</si>
  <si>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</si>
  <si>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</si>
  <si>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</si>
  <si>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</si>
  <si>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</si>
  <si>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</si>
  <si>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</si>
  <si>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</si>
  <si>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</si>
  <si>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</si>
  <si>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</si>
  <si>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</si>
  <si>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</si>
  <si>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</si>
  <si>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</si>
  <si>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</si>
  <si>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</si>
  <si>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</si>
  <si>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</si>
  <si>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</si>
  <si>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</si>
  <si>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</si>
  <si>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</si>
  <si>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</si>
  <si>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</si>
  <si>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</si>
  <si>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</si>
  <si>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</si>
  <si>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</si>
  <si>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</si>
  <si>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</si>
  <si>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</si>
  <si>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</si>
  <si>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</si>
  <si>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</si>
  <si>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</si>
  <si>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</si>
  <si>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</si>
  <si>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</si>
  <si>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</si>
  <si>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</si>
  <si>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</si>
  <si>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</si>
  <si>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</si>
  <si>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</si>
  <si>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</si>
  <si>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</si>
  <si>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</si>
  <si>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</si>
  <si>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</si>
  <si>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</si>
  <si>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</si>
  <si>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</si>
  <si>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</si>
  <si>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</si>
  <si>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</si>
  <si>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</si>
  <si>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</si>
  <si>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</si>
  <si>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</si>
  <si>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</si>
  <si>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</si>
  <si>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</si>
  <si>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</si>
  <si>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</si>
  <si>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</si>
  <si>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</si>
  <si>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</si>
  <si>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</si>
  <si>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</si>
  <si>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</si>
  <si>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</si>
  <si>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</si>
  <si>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</si>
  <si>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</si>
  <si>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</si>
  <si>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</si>
  <si>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</si>
  <si>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</si>
  <si>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</si>
  <si>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</si>
  <si>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</si>
  <si>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</si>
  <si>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</si>
  <si>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</si>
  <si>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</si>
  <si>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</si>
  <si>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</si>
  <si>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</si>
  <si>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</si>
  <si>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</si>
  <si>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</si>
  <si>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</si>
  <si>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</si>
  <si>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</si>
  <si>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</si>
  <si>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</si>
  <si>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</si>
  <si>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</si>
  <si>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</si>
  <si>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</si>
  <si>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</si>
  <si>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</si>
  <si>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</si>
  <si>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</si>
  <si>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</si>
  <si>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</si>
  <si>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</si>
  <si>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</si>
  <si>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</si>
  <si>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</si>
  <si>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</si>
  <si>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</si>
  <si>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</si>
  <si>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</si>
  <si>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</si>
  <si>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</si>
  <si>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</si>
  <si>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</si>
  <si>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</si>
  <si>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</si>
  <si>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</si>
  <si>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</si>
  <si>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</si>
  <si>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</si>
  <si>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</si>
  <si>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</si>
  <si>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</si>
  <si>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</si>
  <si>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</si>
  <si>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</si>
  <si>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</si>
  <si>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</si>
  <si>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</si>
  <si>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</si>
  <si>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</si>
  <si>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</si>
  <si>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</si>
  <si>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</si>
  <si>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</si>
  <si>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</si>
  <si>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</si>
  <si>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</si>
  <si>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</si>
  <si>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</si>
  <si>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</si>
  <si>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</si>
  <si>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</si>
  <si>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</si>
  <si>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</si>
  <si>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</si>
  <si>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</si>
  <si>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</si>
  <si>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</si>
  <si>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</si>
  <si>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</si>
  <si>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</si>
  <si>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</si>
  <si>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</si>
  <si>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</si>
  <si>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</si>
  <si>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</si>
  <si>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</si>
  <si>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</si>
  <si>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</si>
  <si>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</si>
  <si>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</si>
  <si>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</si>
  <si>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</si>
  <si>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</si>
  <si>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</si>
  <si>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</si>
  <si>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</si>
  <si>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</si>
  <si>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</si>
  <si>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</si>
  <si>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</si>
  <si>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</si>
  <si>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</si>
  <si>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</si>
  <si>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</si>
  <si>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</si>
  <si>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</si>
  <si>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</si>
  <si>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</si>
  <si>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</si>
  <si>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</si>
  <si>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</si>
  <si>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</si>
  <si>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</si>
  <si>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</si>
  <si>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</si>
  <si>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</si>
  <si>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</si>
  <si>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</si>
  <si>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</si>
  <si>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</si>
  <si>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</si>
  <si>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</si>
  <si>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</si>
  <si>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</si>
  <si>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</si>
  <si>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</si>
  <si>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</si>
  <si>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</si>
  <si>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</si>
  <si>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</si>
  <si>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</si>
  <si>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</si>
  <si>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</si>
  <si>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</si>
  <si>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</si>
  <si>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</si>
  <si>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</si>
  <si>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</si>
  <si>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</si>
  <si>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</si>
  <si>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</si>
  <si>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</si>
  <si>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</si>
  <si>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</si>
  <si>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</si>
  <si>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</si>
  <si>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</si>
  <si>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</si>
  <si>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</si>
  <si>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</si>
  <si>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</si>
  <si>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</si>
  <si>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</si>
  <si>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</si>
  <si>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</si>
  <si>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</si>
  <si>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</si>
  <si>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</si>
  <si>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</si>
  <si>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</si>
  <si>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</si>
  <si>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</si>
  <si>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</si>
  <si>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</si>
  <si>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</si>
  <si>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</si>
  <si>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</si>
  <si>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</si>
  <si>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</si>
  <si>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</si>
  <si>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</si>
  <si>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</si>
  <si>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</si>
  <si>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</si>
  <si>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</si>
  <si>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</si>
  <si>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</si>
  <si>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</si>
  <si>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</si>
  <si>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</si>
  <si>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</si>
  <si>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</si>
  <si>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</si>
  <si>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</si>
  <si>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</si>
  <si>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</si>
  <si>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</si>
  <si>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</si>
  <si>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</si>
  <si>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</si>
  <si>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</si>
  <si>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</si>
  <si>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</si>
  <si>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</si>
  <si>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</si>
  <si>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</si>
  <si>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</si>
  <si>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</si>
  <si>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</si>
  <si>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</si>
  <si>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</si>
  <si>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</si>
  <si>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</si>
  <si>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</si>
  <si>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</si>
  <si>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</si>
  <si>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</si>
  <si>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</si>
  <si>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</si>
  <si>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</si>
  <si>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</si>
  <si>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</si>
  <si>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</si>
  <si>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</si>
  <si>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</si>
  <si>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</si>
  <si>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</si>
  <si>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</si>
  <si>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</si>
  <si>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</si>
  <si>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</si>
  <si>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</si>
  <si>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</si>
  <si>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</si>
  <si>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</si>
  <si>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</si>
  <si>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</si>
  <si>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</si>
  <si>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</si>
  <si>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</si>
  <si>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</si>
  <si>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</si>
  <si>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</si>
  <si>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</si>
  <si>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</si>
  <si>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</si>
  <si>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</si>
  <si>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</si>
  <si>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</si>
  <si>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</si>
  <si>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</si>
  <si>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</si>
  <si>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</si>
  <si>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</si>
  <si>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</si>
  <si>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</si>
  <si>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</si>
  <si>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</si>
  <si>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</si>
  <si>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</si>
  <si>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</si>
  <si>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</si>
  <si>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</si>
  <si>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</si>
  <si>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</si>
  <si>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</si>
  <si>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</si>
  <si>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</si>
  <si>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</si>
  <si>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</si>
  <si>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</si>
  <si>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</si>
  <si>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</si>
  <si>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</si>
  <si>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</si>
  <si>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</si>
  <si>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</si>
  <si>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</si>
  <si>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</si>
  <si>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</si>
  <si>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</si>
  <si>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</si>
  <si>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</si>
  <si>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</si>
  <si>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</si>
  <si>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</si>
  <si>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</si>
  <si>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</si>
  <si>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</si>
  <si>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</si>
  <si>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</si>
  <si>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</si>
  <si>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</si>
  <si>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</si>
  <si>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</si>
  <si>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</si>
  <si>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</si>
  <si>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</si>
  <si>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</si>
  <si>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</si>
  <si>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</si>
  <si>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</si>
  <si>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</si>
  <si>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</si>
  <si>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</si>
  <si>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</si>
  <si>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</si>
  <si>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</si>
  <si>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</si>
  <si>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</si>
  <si>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</si>
  <si>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</si>
  <si>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</si>
  <si>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</si>
  <si>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</si>
  <si>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</si>
  <si>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</si>
  <si>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</si>
  <si>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</si>
  <si>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</si>
  <si>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</si>
  <si>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</si>
  <si>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</si>
  <si>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</si>
  <si>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</si>
  <si>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</si>
  <si>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</si>
  <si>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</si>
  <si>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</si>
  <si>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</si>
  <si>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</si>
  <si>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</si>
  <si>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</si>
  <si>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</si>
  <si>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</si>
  <si>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</si>
  <si>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</si>
  <si>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</si>
  <si>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</si>
  <si>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</si>
  <si>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</si>
  <si>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</si>
  <si>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</si>
  <si>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</si>
  <si>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</si>
  <si>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</si>
  <si>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</si>
  <si>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</si>
  <si>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</si>
  <si>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</si>
  <si>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</si>
  <si>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</si>
  <si>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</si>
  <si>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</si>
  <si>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</si>
  <si>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</si>
  <si>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</si>
  <si>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</si>
  <si>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</si>
  <si>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</si>
  <si>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</si>
  <si>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</si>
  <si>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</si>
  <si>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</si>
  <si>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</si>
  <si>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</si>
  <si>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</si>
  <si>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</si>
  <si>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</si>
  <si>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</si>
  <si>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</si>
  <si>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</si>
  <si>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</si>
  <si>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</si>
  <si>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</si>
  <si>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</si>
  <si>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</si>
  <si>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</si>
  <si>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</si>
  <si>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</si>
  <si>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</si>
  <si>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</si>
  <si>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</si>
  <si>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</si>
  <si>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</si>
  <si>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</si>
  <si>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</si>
  <si>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</si>
  <si>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</si>
  <si>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</si>
  <si>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</si>
  <si>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</si>
  <si>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</si>
  <si>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</si>
  <si>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</si>
  <si>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</si>
  <si>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</si>
  <si>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</si>
  <si>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</si>
  <si>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</si>
  <si>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</si>
  <si>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</si>
  <si>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</si>
  <si>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</si>
  <si>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</si>
  <si>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</si>
  <si>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</si>
  <si>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</si>
  <si>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</si>
  <si>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</si>
  <si>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</si>
  <si>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</si>
  <si>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</si>
  <si>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</si>
  <si>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</si>
  <si>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</si>
  <si>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</si>
  <si>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</si>
  <si>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</si>
  <si>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</si>
  <si>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</si>
  <si>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</si>
  <si>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</si>
  <si>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</si>
  <si>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</si>
  <si>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</si>
  <si>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</si>
  <si>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</si>
  <si>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</si>
  <si>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</si>
  <si>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</si>
  <si>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</si>
  <si>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</si>
  <si>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</si>
  <si>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</si>
  <si>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</si>
  <si>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</si>
  <si>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</si>
  <si>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</si>
  <si>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</si>
  <si>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</si>
  <si>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</si>
  <si>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</si>
  <si>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</si>
  <si>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</si>
  <si>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</si>
  <si>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</si>
  <si>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</si>
  <si>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</si>
  <si>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</si>
  <si>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</si>
  <si>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</si>
  <si>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</si>
  <si>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</si>
  <si>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</si>
  <si>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</si>
  <si>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</si>
  <si>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</si>
  <si>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</si>
  <si>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</si>
  <si>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</si>
  <si>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</si>
  <si>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</si>
  <si>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</si>
  <si>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</si>
  <si>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</si>
  <si>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</si>
  <si>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</si>
  <si>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</si>
  <si>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</si>
  <si>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</si>
  <si>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</si>
  <si>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</si>
  <si>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</si>
  <si>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</si>
  <si>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</si>
  <si>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</si>
  <si>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</si>
  <si>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</si>
  <si>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</si>
  <si>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</si>
  <si>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</si>
  <si>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</si>
  <si>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</si>
  <si>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</si>
  <si>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</si>
  <si>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</si>
  <si>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</si>
  <si>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</si>
  <si>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</si>
  <si>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</si>
  <si>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</si>
  <si>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</si>
  <si>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</si>
  <si>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</si>
  <si>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</si>
  <si>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</si>
  <si>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</si>
  <si>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</si>
  <si>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</si>
  <si>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</si>
  <si>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</si>
  <si>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</si>
  <si>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</si>
  <si>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</si>
  <si>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</si>
  <si>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</si>
  <si>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</si>
  <si>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</si>
  <si>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</si>
  <si>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</si>
  <si>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</si>
  <si>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</si>
  <si>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</si>
  <si>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</si>
  <si>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</si>
  <si>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</si>
  <si>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</si>
  <si>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</si>
  <si>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</si>
  <si>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</si>
  <si>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</si>
  <si>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</si>
  <si>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</si>
  <si>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</si>
  <si>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</si>
  <si>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</si>
  <si>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</si>
  <si>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</si>
  <si>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</si>
  <si>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</si>
  <si>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</si>
  <si>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</si>
  <si>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</si>
  <si>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</si>
  <si>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</si>
  <si>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</si>
  <si>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</si>
  <si>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</si>
  <si>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</si>
  <si>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</si>
  <si>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</si>
  <si>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</si>
  <si>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</si>
  <si>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</si>
  <si>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</si>
  <si>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</si>
  <si>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</si>
  <si>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</si>
  <si>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</si>
  <si>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</si>
  <si>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</si>
  <si>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</si>
  <si>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</si>
  <si>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</si>
  <si>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</si>
  <si>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</si>
  <si>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</si>
  <si>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</si>
  <si>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</si>
  <si>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</si>
  <si>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</si>
  <si>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</si>
  <si>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</si>
  <si>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</si>
  <si>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</si>
  <si>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</si>
  <si>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</si>
  <si>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</si>
  <si>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</si>
  <si>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</si>
  <si>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</si>
  <si>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</si>
  <si>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</si>
  <si>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</si>
  <si>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</si>
  <si>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</si>
  <si>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</si>
  <si>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</si>
  <si>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</si>
  <si>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</si>
  <si>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</si>
  <si>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</si>
  <si>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</si>
  <si>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</si>
  <si>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</si>
  <si>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</si>
  <si>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</si>
  <si>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</si>
  <si>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</si>
  <si>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</si>
  <si>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</si>
  <si>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</si>
  <si>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</si>
  <si>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</si>
  <si>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</si>
  <si>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</si>
  <si>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</si>
  <si>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</si>
  <si>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</si>
  <si>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</si>
  <si>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</si>
  <si>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</si>
  <si>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</si>
  <si>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</si>
  <si>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</si>
  <si>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</si>
  <si>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</si>
  <si>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</si>
  <si>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</si>
  <si>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</si>
  <si>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</si>
  <si>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</si>
  <si>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</si>
  <si>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</si>
  <si>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</si>
  <si>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</si>
  <si>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</si>
  <si>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</si>
  <si>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</si>
  <si>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</si>
  <si>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</si>
  <si>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</si>
  <si>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</si>
  <si>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</si>
  <si>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</si>
  <si>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</si>
  <si>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</si>
  <si>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</si>
  <si>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</si>
  <si>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</si>
  <si>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</si>
  <si>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</si>
  <si>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</si>
  <si>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</si>
  <si>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</si>
  <si>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</si>
  <si>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</si>
  <si>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</si>
  <si>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</si>
  <si>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</si>
  <si>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</si>
  <si>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</si>
  <si>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</si>
  <si>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</si>
  <si>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</si>
  <si>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</si>
  <si>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</si>
  <si>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</si>
  <si>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</si>
  <si>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</si>
  <si>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</si>
  <si>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</si>
  <si>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</si>
  <si>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</si>
  <si>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</si>
  <si>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</si>
  <si>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</si>
  <si>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</si>
  <si>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</si>
  <si>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</si>
  <si>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</si>
  <si>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</si>
  <si>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</si>
  <si>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</si>
  <si>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</si>
  <si>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</si>
  <si>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</si>
  <si>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</si>
  <si>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</si>
  <si>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</si>
  <si>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</si>
  <si>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</si>
  <si>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</si>
  <si>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</si>
  <si>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</si>
  <si>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</si>
  <si>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</si>
  <si>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</si>
  <si>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</si>
  <si>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</si>
  <si>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</si>
  <si>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</si>
  <si>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</si>
  <si>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</si>
  <si>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</si>
  <si>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</si>
  <si>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</si>
  <si>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</si>
  <si>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</si>
  <si>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</si>
  <si>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</si>
  <si>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</si>
  <si>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</si>
  <si>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</si>
  <si>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</si>
  <si>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</si>
  <si>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</si>
  <si>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</si>
  <si>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</si>
  <si>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</si>
  <si>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</si>
  <si>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</si>
  <si>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</si>
  <si>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</si>
  <si>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</si>
  <si>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</si>
  <si>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</si>
  <si>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</si>
  <si>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</si>
  <si>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</si>
  <si>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</si>
  <si>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</si>
  <si>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</si>
  <si>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</si>
  <si>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</si>
  <si>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</si>
  <si>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</si>
  <si>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</si>
  <si>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</si>
  <si>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</si>
  <si>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</si>
  <si>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</si>
  <si>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</si>
  <si>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</si>
  <si>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</si>
  <si>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</si>
  <si>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</si>
  <si>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</si>
  <si>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</si>
  <si>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</si>
  <si>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</si>
  <si>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</si>
  <si>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</si>
  <si>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</si>
  <si>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</si>
  <si>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</si>
  <si>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</si>
  <si>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</si>
  <si>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</si>
  <si>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</si>
  <si>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</si>
  <si>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</si>
  <si>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</si>
  <si>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</si>
  <si>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</si>
  <si>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</si>
  <si>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</si>
  <si>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</si>
  <si>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</si>
  <si>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</si>
  <si>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</si>
  <si>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</si>
  <si>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</si>
  <si>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</si>
  <si>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</si>
  <si>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</si>
  <si>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</si>
  <si>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</si>
  <si>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</si>
  <si>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</si>
  <si>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</si>
  <si>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</si>
  <si>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</si>
  <si>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</si>
  <si>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</si>
  <si>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</si>
  <si>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</si>
  <si>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</si>
  <si>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</si>
  <si>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</si>
  <si>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</si>
  <si>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</si>
  <si>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</si>
  <si>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</si>
  <si>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</si>
  <si>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</si>
  <si>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</si>
  <si>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</si>
  <si>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</si>
  <si>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</si>
  <si>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</si>
  <si>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</si>
  <si>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</si>
  <si>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</si>
  <si>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</si>
  <si>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</si>
  <si>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</si>
  <si>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</si>
  <si>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</si>
  <si>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</si>
  <si>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</si>
  <si>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</si>
  <si>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</si>
  <si>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</si>
  <si>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</si>
  <si>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</si>
  <si>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</si>
  <si>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</si>
  <si>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</si>
  <si>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</si>
  <si>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</si>
  <si>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</si>
  <si>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</si>
  <si>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</si>
  <si>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</si>
  <si>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</si>
  <si>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</si>
  <si>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</si>
  <si>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</si>
  <si>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</si>
  <si>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</si>
  <si>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</si>
  <si>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</si>
  <si>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</si>
  <si>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</si>
  <si>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</si>
  <si>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</si>
  <si>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</si>
  <si>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</si>
  <si>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</si>
  <si>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</si>
  <si>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</si>
  <si>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</si>
  <si>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</si>
  <si>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</si>
  <si>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</si>
  <si>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</si>
  <si>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</si>
  <si>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</si>
  <si>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</si>
  <si>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</si>
  <si>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</si>
  <si>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</si>
  <si>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</si>
  <si>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</si>
  <si>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</si>
  <si>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</si>
  <si>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</si>
  <si>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</si>
  <si>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</si>
  <si>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</si>
  <si>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</si>
  <si>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</si>
  <si>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</si>
  <si>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</si>
  <si>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</si>
  <si>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</si>
  <si>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</si>
  <si>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</si>
  <si>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</si>
  <si>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</si>
  <si>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</si>
  <si>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</si>
  <si>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</si>
  <si>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</si>
  <si>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</si>
  <si>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</si>
  <si>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</si>
  <si>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</si>
  <si>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</si>
  <si>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</si>
  <si>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</si>
  <si>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</si>
  <si>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</si>
  <si>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</si>
  <si>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</si>
  <si>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</si>
  <si>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</si>
  <si>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</si>
  <si>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</si>
  <si>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</si>
  <si>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</si>
  <si>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</si>
  <si>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</si>
  <si>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</si>
  <si>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</si>
  <si>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</si>
  <si>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</si>
  <si>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</si>
  <si>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</si>
  <si>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</si>
  <si>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</si>
  <si>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</si>
  <si>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</si>
  <si>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</si>
  <si>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</si>
  <si>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</si>
  <si>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</si>
  <si>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</si>
  <si>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</si>
  <si>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</si>
  <si>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</si>
  <si>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</si>
  <si>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</si>
  <si>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</si>
  <si>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</si>
  <si>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</si>
  <si>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</si>
  <si>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</si>
  <si>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</si>
  <si>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</si>
  <si>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</si>
  <si>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</si>
  <si>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</si>
  <si>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</si>
  <si>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</si>
  <si>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</si>
  <si>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</si>
  <si>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</si>
  <si>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</si>
  <si>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</si>
  <si>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</si>
  <si>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</si>
  <si>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</si>
  <si>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</si>
  <si>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</si>
  <si>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</si>
  <si>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</si>
  <si>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</si>
  <si>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</si>
  <si>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</si>
  <si>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</si>
  <si>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</si>
  <si>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</si>
  <si>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</si>
  <si>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</si>
  <si>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</si>
  <si>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</si>
  <si>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</si>
  <si>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</si>
  <si>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</si>
  <si>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</si>
  <si>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</si>
  <si>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</si>
  <si>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</si>
  <si>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</si>
  <si>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</si>
  <si>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</si>
  <si>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</si>
  <si>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</si>
  <si>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</si>
  <si>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</si>
  <si>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</si>
  <si>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</si>
  <si>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</si>
  <si>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</si>
  <si>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</si>
  <si>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</si>
  <si>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</si>
  <si>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</si>
  <si>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</si>
  <si>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</si>
  <si>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</si>
  <si>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</si>
  <si>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</si>
  <si>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</si>
  <si>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</si>
  <si>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</si>
  <si>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</si>
  <si>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</si>
  <si>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</si>
  <si>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</si>
  <si>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</si>
  <si>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</si>
  <si>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</si>
  <si>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</si>
  <si>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</si>
  <si>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</si>
  <si>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</si>
  <si>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</si>
  <si>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</si>
  <si>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</si>
  <si>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</si>
  <si>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</si>
  <si>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</si>
  <si>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</si>
  <si>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</si>
  <si>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</si>
  <si>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</si>
  <si>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</si>
  <si>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</si>
  <si>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</si>
  <si>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</si>
  <si>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</si>
  <si>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</si>
  <si>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</si>
  <si>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</si>
  <si>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</si>
  <si>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</si>
  <si>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</si>
  <si>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</si>
  <si>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</si>
  <si>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</si>
  <si>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</si>
  <si>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</si>
  <si>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</si>
  <si>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</si>
  <si>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</si>
  <si>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</si>
  <si>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</si>
  <si>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</si>
  <si>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</si>
  <si>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</si>
  <si>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</si>
  <si>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</si>
  <si>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</si>
  <si>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</si>
  <si>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</si>
  <si>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</si>
  <si>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</si>
  <si>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</si>
  <si>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</si>
  <si>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</si>
  <si>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</si>
  <si>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</si>
  <si>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</si>
  <si>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</si>
  <si>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</si>
  <si>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</si>
  <si>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</si>
  <si>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</si>
  <si>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</si>
  <si>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</si>
  <si>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</si>
  <si>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</si>
  <si>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</si>
  <si>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</si>
  <si>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</si>
  <si>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</si>
  <si>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</si>
  <si>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</si>
  <si>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</si>
  <si>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</si>
  <si>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</si>
  <si>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</si>
  <si>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</si>
  <si>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</si>
  <si>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</si>
  <si>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</si>
  <si>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</si>
  <si>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</si>
  <si>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</si>
  <si>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</si>
  <si>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</si>
  <si>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</si>
  <si>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</si>
  <si>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</si>
  <si>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</si>
  <si>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</si>
  <si>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</si>
  <si>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</si>
  <si>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</si>
  <si>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</si>
  <si>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</si>
  <si>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</si>
  <si>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</si>
  <si>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</si>
  <si>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</si>
  <si>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</si>
  <si>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</si>
  <si>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</si>
  <si>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</si>
  <si>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</si>
  <si>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</si>
  <si>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</si>
  <si>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</si>
  <si>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</si>
  <si>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</si>
  <si>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</si>
  <si>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</si>
  <si>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</si>
  <si>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</si>
  <si>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</si>
  <si>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</si>
  <si>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</si>
  <si>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</si>
  <si>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</si>
  <si>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</si>
  <si>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</si>
  <si>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</si>
  <si>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</si>
  <si>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</si>
  <si>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</si>
  <si>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</si>
  <si>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</si>
  <si>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</si>
  <si>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</si>
  <si>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</si>
  <si>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</si>
  <si>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</si>
  <si>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</si>
  <si>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</si>
  <si>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</si>
  <si>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</si>
  <si>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</si>
  <si>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</si>
  <si>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</si>
  <si>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</si>
  <si>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</si>
  <si>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</si>
  <si>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</si>
  <si>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</si>
  <si>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</si>
  <si>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</si>
  <si>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</si>
  <si>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</si>
  <si>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</si>
  <si>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</si>
  <si>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</si>
  <si>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</si>
  <si>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</si>
  <si>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</si>
  <si>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</si>
  <si>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</si>
  <si>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</si>
  <si>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</si>
  <si>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</si>
  <si>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</si>
  <si>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</si>
  <si>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</si>
  <si>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</si>
  <si>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</si>
  <si>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</si>
  <si>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</si>
  <si>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</si>
  <si>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</si>
  <si>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</si>
  <si>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</si>
  <si>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</si>
  <si>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</si>
  <si>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</si>
  <si>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</si>
  <si>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</si>
  <si>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</si>
  <si>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</si>
  <si>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</si>
  <si>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</si>
  <si>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</si>
  <si>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</si>
  <si>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</si>
  <si>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</si>
  <si>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</si>
  <si>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</si>
  <si>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</si>
  <si>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</si>
  <si>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</si>
  <si>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</si>
  <si>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</si>
  <si>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</si>
  <si>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</si>
  <si>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</si>
  <si>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</si>
  <si>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</si>
  <si>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</si>
  <si>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</si>
  <si>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</si>
  <si>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</si>
  <si>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</si>
  <si>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</si>
  <si>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</si>
  <si>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</si>
  <si>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</si>
  <si>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</si>
  <si>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</si>
  <si>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</si>
  <si>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</si>
  <si>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</si>
  <si>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</si>
  <si>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</si>
  <si>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</si>
  <si>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</si>
  <si>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</si>
  <si>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</si>
  <si>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</si>
  <si>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</si>
  <si>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</si>
  <si>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</si>
  <si>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</si>
  <si>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</si>
  <si>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</si>
  <si>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</si>
  <si>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</si>
  <si>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</si>
  <si>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</si>
  <si>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</si>
  <si>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</si>
  <si>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</si>
  <si>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</si>
  <si>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</si>
  <si>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</si>
  <si>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</si>
  <si>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</si>
  <si>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</si>
  <si>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</si>
  <si>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</si>
  <si>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</si>
  <si>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</si>
  <si>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</si>
  <si>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</si>
  <si>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</si>
  <si>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</si>
  <si>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</si>
  <si>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</si>
  <si>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</si>
  <si>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</si>
  <si>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</si>
  <si>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</si>
  <si>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</si>
  <si>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</si>
  <si>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</si>
  <si>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</si>
  <si>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</si>
  <si>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</si>
  <si>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</si>
  <si>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</si>
  <si>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</si>
  <si>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</si>
  <si>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</si>
  <si>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</si>
  <si>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</si>
  <si>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</si>
  <si>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</si>
  <si>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</si>
  <si>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</si>
  <si>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</si>
  <si>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</si>
  <si>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</si>
  <si>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</si>
  <si>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</si>
  <si>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</si>
  <si>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</si>
  <si>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</si>
  <si>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</si>
  <si>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</si>
  <si>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</si>
  <si>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</si>
  <si>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</si>
  <si>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</si>
  <si>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</si>
  <si>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</si>
  <si>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</si>
  <si>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</si>
  <si>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</si>
  <si>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</si>
  <si>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</si>
  <si>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</si>
  <si>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</si>
  <si>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</si>
  <si>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</si>
  <si>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</si>
  <si>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</si>
  <si>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</si>
  <si>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</si>
  <si>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</si>
  <si>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</si>
  <si>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</si>
  <si>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</si>
  <si>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</si>
  <si>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</si>
  <si>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</si>
  <si>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</si>
  <si>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</si>
  <si>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</si>
  <si>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</si>
  <si>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</si>
  <si>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</si>
  <si>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</si>
  <si>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</si>
  <si>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</si>
  <si>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</si>
  <si>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</si>
  <si>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</si>
  <si>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</si>
  <si>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</si>
  <si>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</si>
  <si>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</si>
  <si>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</si>
  <si>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</si>
  <si>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</si>
  <si>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</si>
  <si>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</si>
  <si>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</si>
  <si>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</si>
  <si>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</si>
  <si>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</si>
  <si>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</si>
  <si>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</si>
  <si>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</si>
  <si>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</si>
  <si>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</si>
  <si>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</si>
  <si>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</si>
  <si>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951-781-53070</t>
  </si>
  <si>
    <t>Malaysia Smelting Corp. reports 15-20% Sn from Rwanda and Katanga Province. While in the DRC vicinity, the two locations are not within the recognized conflict areas of eastern DRC. See http://www.msmelt.com/abt_policy.htm.  https://www.msmelt.com/policy-on-conflict-minerals.php</t>
  </si>
  <si>
    <t>100%</t>
  </si>
  <si>
    <t>http://www.bourns.com/docs/RoHS-Content/conflict_metals_statement.pdf?sfvrsn=f2ab84f1_11</t>
  </si>
  <si>
    <t>CG0201MLA</t>
  </si>
  <si>
    <t>CG0402MLA/ CG0603MLA</t>
  </si>
  <si>
    <t>CG0402MLC/ CG0603MLC</t>
  </si>
  <si>
    <t>CG0402MLD/ CG0603MLD</t>
  </si>
  <si>
    <t>CG0402MLE/ CG0603MLE</t>
  </si>
  <si>
    <t>CG0402MLU/ CG0603MLU</t>
  </si>
  <si>
    <t>CG0805MLA</t>
  </si>
  <si>
    <t>CG1206MLC</t>
  </si>
  <si>
    <t>CGA0402MLC/CGA0603MLC Automotive</t>
  </si>
  <si>
    <t>CGA0603MLA/CGA0805MLA/CGA1206MLA Automotive</t>
  </si>
  <si>
    <t>CGF0804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</si>
</sst>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0" fillId="0" borderId="0"/>
    <xf numFmtId="0" fontId="90"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0"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0" fillId="0" borderId="0"/>
    <xf numFmtId="0" fontId="74" fillId="0" borderId="0"/>
    <xf numFmtId="0" fontId="56" fillId="0" borderId="0"/>
    <xf numFmtId="0" fontId="56" fillId="0" borderId="0"/>
    <xf numFmtId="0" fontId="56" fillId="0" borderId="0"/>
    <xf numFmtId="0" fontId="56" fillId="0" borderId="0"/>
    <xf numFmtId="0" fontId="56" fillId="0" borderId="0"/>
    <xf numFmtId="0" fontId="90" fillId="0" borderId="0"/>
    <xf numFmtId="0" fontId="56" fillId="0" borderId="0"/>
    <xf numFmtId="0" fontId="90"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4" fillId="0" borderId="0"/>
    <xf numFmtId="0" fontId="74"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6" fillId="0" borderId="0"/>
    <xf numFmtId="0" fontId="56" fillId="0" borderId="0"/>
    <xf numFmtId="164" fontId="3" fillId="0" borderId="0"/>
    <xf numFmtId="164" fontId="3" fillId="0" borderId="0"/>
    <xf numFmtId="0" fontId="75" fillId="0" borderId="0"/>
    <xf numFmtId="0" fontId="90"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67" fillId="0" borderId="0" applyNumberFormat="0" applyFill="0" applyBorder="0">
      <protection locked="0"/>
    </xf>
    <xf numFmtId="0" fontId="1" fillId="0" borderId="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2"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2" fillId="0" borderId="0" xfId="502" applyFont="1" applyAlignment="1">
      <alignment horizontal="justify" vertical="top"/>
    </xf>
    <xf numFmtId="0" fontId="55"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2" fillId="0" borderId="0" xfId="502" applyFont="1" applyAlignment="1">
      <alignment vertical="top" wrapText="1"/>
    </xf>
    <xf numFmtId="0" fontId="94" fillId="0" borderId="0" xfId="0" applyFont="1"/>
    <xf numFmtId="164" fontId="54"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50" fillId="0" borderId="0" xfId="507" applyFont="1" applyAlignment="1">
      <alignment horizontal="left" vertical="top" wrapText="1"/>
    </xf>
    <xf numFmtId="0" fontId="88"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4" fillId="33" borderId="10" xfId="487" applyFont="1" applyFill="1" applyBorder="1" applyAlignment="1">
      <alignment horizontal="left" vertical="center" wrapText="1"/>
      <protection locked="0"/>
    </xf>
    <xf numFmtId="0" fontId="84" fillId="33" borderId="37" xfId="487" applyFont="1" applyFill="1" applyBorder="1" applyAlignment="1">
      <alignment horizontal="left" vertical="center" wrapText="1"/>
      <protection locked="0"/>
    </xf>
    <xf numFmtId="0" fontId="16" fillId="33" borderId="22" xfId="0"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AB42B58D-9246-4FBB-B9C1-7F77F8A3CF55}"/>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9D69E731-9647-456D-B436-7F81BFD3A8E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vella.sanchez@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2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B880BA3-57DB-404D-AAB9-12272B6B2B4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CDA80E0-8C99-4874-89AA-2A8C15597F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93" sqref="D9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4"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5"/>
      <c r="G3" s="355"/>
      <c r="H3" s="355"/>
      <c r="I3" s="152"/>
      <c r="J3" s="138" t="s">
        <v>15794</v>
      </c>
      <c r="K3" s="36"/>
      <c r="L3" s="100"/>
      <c r="P3" s="45">
        <f>MATCH($D$3,LN,0)</f>
        <v>1</v>
      </c>
    </row>
    <row r="4" spans="1:34" ht="1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443</v>
      </c>
      <c r="P6" s="3"/>
      <c r="Q6" s="3"/>
      <c r="R6" s="3"/>
      <c r="S6" s="3"/>
      <c r="T6" s="3"/>
      <c r="U6" s="3"/>
      <c r="V6" s="3"/>
      <c r="W6" s="3"/>
      <c r="X6" s="3"/>
      <c r="Y6" s="3"/>
      <c r="Z6" s="3"/>
      <c r="AA6" s="3"/>
      <c r="AB6" s="3"/>
      <c r="AC6" s="3"/>
      <c r="AD6" s="3"/>
      <c r="AE6" s="3"/>
      <c r="AF6" s="3"/>
      <c r="AG6" s="3"/>
      <c r="AH6" s="3"/>
    </row>
    <row r="7" spans="1:34" ht="37"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5" t="s">
        <v>15795</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7" t="s">
        <v>495</v>
      </c>
      <c r="E9" s="358"/>
      <c r="F9" s="358"/>
      <c r="G9" s="359"/>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1" t="str">
        <f ca="1">OFFSET(L!$C$1,MATCH("Declaration"&amp;ADDRESS(ROW(),COLUMN(),4)&amp;LEFT($D$9,1),L!$A:$A,0)-1,SL,,)</f>
        <v>Go to Product List tab to enter products this declaration applies to</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
      <c r="A11" s="38"/>
      <c r="B11" s="362"/>
      <c r="C11" s="122"/>
      <c r="D11" s="368" t="str">
        <f ca="1">IF(D9=Q9,OFFSET(L!$C$1,MATCH("Declaration"&amp;ADDRESS(ROW(),COLUMN(),4),L!$A:$A,0)-1,SL,,),"")</f>
        <v>Click here to enter the products this declaration applies to</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8" t="s">
        <v>2351</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8" t="s">
        <v>15796</v>
      </c>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8" t="s">
        <v>15797</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8" t="s">
        <v>15798</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3" t="s">
        <v>15799</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8" t="s">
        <v>15800</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1" t="s">
        <v>15801</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8" t="s">
        <v>15802</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3" t="s">
        <v>15803</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45072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2"/>
      <c r="I37" s="372"/>
      <c r="J37" s="372"/>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ustomHeight="1">
      <c r="A39" s="41"/>
      <c r="B39" s="40" t="str">
        <f ca="1">OFFSET(L!$C$1,MATCH("Declaration"&amp;ADDRESS(ROW(),COLUMN(),4),L!$A:$A,0)-1,SL,,)&amp;P39</f>
        <v>Tin  (*)</v>
      </c>
      <c r="C39" s="10"/>
      <c r="D39" s="326" t="s">
        <v>488</v>
      </c>
      <c r="E39" s="327"/>
      <c r="F39" s="47"/>
      <c r="G39" s="334" t="s">
        <v>15805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34" t="s">
        <v>15805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6"/>
      <c r="E56" s="367"/>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6" t="s">
        <v>15806</v>
      </c>
      <c r="E57" s="367"/>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6"/>
      <c r="E58" s="367"/>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6" t="s">
        <v>15806</v>
      </c>
      <c r="E59" s="367"/>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15807</v>
      </c>
      <c r="H77" s="397"/>
      <c r="I77" s="397"/>
      <c r="J77" s="398"/>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488</v>
      </c>
      <c r="E85" s="378"/>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5" thickBot="1">
      <c r="A91" s="374" t="str">
        <f ca="1">OFFSET(L!$C$1,MATCH("General"&amp;"Cpy",L!$A:$A,0)-1,SL,,)</f>
        <v>© 2023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Yes</v>
      </c>
    </row>
    <row r="103" spans="2:7" ht="15" hidden="1">
      <c r="B103" s="236" t="s">
        <v>2483</v>
      </c>
      <c r="D103" s="282" t="str">
        <f>IF(AND(OR($D$28="Yes",$D$28=""),OR($D$34="Yes",$D$34="")),"No","")</f>
        <v/>
      </c>
      <c r="E103" s="282" t="str">
        <f>IF(AND(OR($D$27="Yes",$D$27=""),OR($D$33="Yes",$D$33="")),"Greater than 90%","")</f>
        <v>Greater than 90%</v>
      </c>
      <c r="G103" s="282" t="str">
        <f>IF(OR($D$29="Yes",$D$29=""),"No","")</f>
        <v>No</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0" priority="159" stopIfTrue="1">
      <formula>IF($D$22="",TRUE)</formula>
    </cfRule>
  </conditionalFormatting>
  <conditionalFormatting sqref="D26:E26">
    <cfRule type="expression" dxfId="79" priority="137" stopIfTrue="1">
      <formula>IF($D$26="",TRUE)</formula>
    </cfRule>
  </conditionalFormatting>
  <conditionalFormatting sqref="D27:E27">
    <cfRule type="expression" dxfId="78" priority="144" stopIfTrue="1">
      <formula>IF($D$27="",TRUE)</formula>
    </cfRule>
  </conditionalFormatting>
  <conditionalFormatting sqref="D28:E28">
    <cfRule type="expression" dxfId="77" priority="145" stopIfTrue="1">
      <formula>IF($D$28="",TRUE)</formula>
    </cfRule>
  </conditionalFormatting>
  <conditionalFormatting sqref="D29:E29">
    <cfRule type="expression" dxfId="76" priority="146" stopIfTrue="1">
      <formula>IF($D$29="",TRUE)</formula>
    </cfRule>
  </conditionalFormatting>
  <conditionalFormatting sqref="D32:E32">
    <cfRule type="expression" dxfId="75" priority="55" stopIfTrue="1">
      <formula>IF(AND(OR($D$26="Yes",$D$26=""),$D$32=""),1,0)</formula>
    </cfRule>
    <cfRule type="expression" dxfId="74" priority="142" stopIfTrue="1">
      <formula>$P$26=""</formula>
    </cfRule>
  </conditionalFormatting>
  <conditionalFormatting sqref="D33:E33">
    <cfRule type="expression" dxfId="73" priority="43" stopIfTrue="1">
      <formula>$P$27=""</formula>
    </cfRule>
    <cfRule type="expression" dxfId="72" priority="42" stopIfTrue="1">
      <formula>IF(AND(OR($D$27="Yes",$D$27=""),$D$33=""),1,0)</formula>
    </cfRule>
  </conditionalFormatting>
  <conditionalFormatting sqref="D34:E34">
    <cfRule type="expression" dxfId="71" priority="1" stopIfTrue="1">
      <formula>IF(AND(OR($D$28="Yes",$D$28=""),$D$34=""),1,0)</formula>
    </cfRule>
    <cfRule type="expression" dxfId="70" priority="2" stopIfTrue="1">
      <formula>$P$28=""</formula>
    </cfRule>
  </conditionalFormatting>
  <conditionalFormatting sqref="D35:E35">
    <cfRule type="expression" dxfId="69" priority="39" stopIfTrue="1">
      <formula>IF(AND(OR($D$29="Yes",$D$29=""),$D$35=""),1,0)</formula>
    </cfRule>
    <cfRule type="expression" dxfId="68" priority="163" stopIfTrue="1">
      <formula>$P$29=""</formula>
    </cfRule>
  </conditionalFormatting>
  <conditionalFormatting sqref="D38:E38 D44:E44 D50:E50 D56:E56 D62:E62 D68:E68">
    <cfRule type="expression" dxfId="67" priority="18" stopIfTrue="1">
      <formula>$P$26=""</formula>
    </cfRule>
    <cfRule type="expression" dxfId="66" priority="19" stopIfTrue="1">
      <formula>$P$32=""</formula>
    </cfRule>
  </conditionalFormatting>
  <conditionalFormatting sqref="D38:E38">
    <cfRule type="expression" dxfId="65" priority="54" stopIfTrue="1">
      <formula>IF(AND(OR($D$26="Yes",$D$26=""),OR($D$32="Yes",$D$32=""),D38=""),1,0)</formula>
    </cfRule>
  </conditionalFormatting>
  <conditionalFormatting sqref="D39:E39 D45:E45 D51:E51 D57:E57 D63:E63 D69:E69">
    <cfRule type="expression" dxfId="64" priority="12" stopIfTrue="1">
      <formula>$P$33=""</formula>
    </cfRule>
    <cfRule type="expression" dxfId="63" priority="13" stopIfTrue="1">
      <formula>$P$39=""</formula>
    </cfRule>
  </conditionalFormatting>
  <conditionalFormatting sqref="D39:E39">
    <cfRule type="expression" dxfId="62" priority="50" stopIfTrue="1">
      <formula>IF(AND(OR($D$27="Yes",$D$27=""),OR($D$33="Yes",$D$33=""),D39=""),1,0)</formula>
    </cfRule>
  </conditionalFormatting>
  <conditionalFormatting sqref="D40:E40 D46:E46 D52:E52 D58:E58 D64:E64 D70:E70">
    <cfRule type="expression" dxfId="61" priority="7" stopIfTrue="1">
      <formula>$P$28=""</formula>
    </cfRule>
    <cfRule type="expression" dxfId="60" priority="8" stopIfTrue="1">
      <formula>$P$34=""</formula>
    </cfRule>
  </conditionalFormatting>
  <conditionalFormatting sqref="D40:E40">
    <cfRule type="expression" dxfId="59" priority="49" stopIfTrue="1">
      <formula>IF(AND(OR($D$28="Yes",$D$28=""),OR($D$34="Yes",$D$34=""),D40=""),1,0)</formula>
    </cfRule>
  </conditionalFormatting>
  <conditionalFormatting sqref="D41:E41 D47:E47 D53:E53 D59:E59 D65:E65 D71:E71">
    <cfRule type="expression" dxfId="58" priority="3" stopIfTrue="1">
      <formula>$P$29=""</formula>
    </cfRule>
    <cfRule type="expression" dxfId="57" priority="4" stopIfTrue="1">
      <formula>$P$35=""</formula>
    </cfRule>
  </conditionalFormatting>
  <conditionalFormatting sqref="D41:E41">
    <cfRule type="expression" dxfId="56" priority="165" stopIfTrue="1">
      <formula>IF(AND(OR($D$29="Yes",$D$29=""),OR($D$35="Yes",$D$35=""),D41=""),1,0)</formula>
    </cfRule>
  </conditionalFormatting>
  <conditionalFormatting sqref="D44:E44">
    <cfRule type="expression" dxfId="55" priority="53" stopIfTrue="1">
      <formula>IF(AND(OR($D$26="Yes",$D$26=""),OR($D$32="Yes",$D$32=""),D44=""),1,0)</formula>
    </cfRule>
  </conditionalFormatting>
  <conditionalFormatting sqref="D45:E45">
    <cfRule type="expression" dxfId="54" priority="15" stopIfTrue="1">
      <formula>IF(AND(OR($D$27="Yes",$D$27=""),OR($D$33="Yes",$D$33=""),D45=""),1,0)</formula>
    </cfRule>
  </conditionalFormatting>
  <conditionalFormatting sqref="D46:E46">
    <cfRule type="expression" dxfId="53" priority="40" stopIfTrue="1">
      <formula>IF(AND(OR($D$28="Yes",$D$28=""),OR($D$34="Yes",$D$34=""),D46=""),1,0)</formula>
    </cfRule>
  </conditionalFormatting>
  <conditionalFormatting sqref="D47:E47">
    <cfRule type="expression" dxfId="52" priority="48" stopIfTrue="1">
      <formula>IF(AND(OR($D$29="Yes",$D$29=""),OR($D$35="Yes",$D$35=""),D47=""),1,0)</formula>
    </cfRule>
  </conditionalFormatting>
  <conditionalFormatting sqref="D50:E50">
    <cfRule type="expression" dxfId="51" priority="21" stopIfTrue="1">
      <formula>IF(AND(OR($D$26="Yes",$D$26=""),OR($D$32="Yes",$D$32=""),D50=""),1,0)</formula>
    </cfRule>
  </conditionalFormatting>
  <conditionalFormatting sqref="D51:E51">
    <cfRule type="expression" dxfId="50" priority="160" stopIfTrue="1">
      <formula>IF(AND(OR($D$27="Yes",$D$27=""),OR($D$33="Yes",$D$33=""),D51=""),1,0)</formula>
    </cfRule>
  </conditionalFormatting>
  <conditionalFormatting sqref="D52:E52">
    <cfRule type="expression" dxfId="49" priority="11" stopIfTrue="1">
      <formula>IF(AND(OR($D$28="Yes",$D$28=""),OR($D$34="Yes",$D$34=""),D52=""),1,0)</formula>
    </cfRule>
  </conditionalFormatting>
  <conditionalFormatting sqref="D53:E53">
    <cfRule type="expression" dxfId="48" priority="34" stopIfTrue="1">
      <formula>IF(AND(OR($D$29="Yes",$D$29=""),OR($D$35="Yes",$D$35=""),D53=""),1,0)</formula>
    </cfRule>
  </conditionalFormatting>
  <conditionalFormatting sqref="D56:E56">
    <cfRule type="expression" dxfId="47" priority="29" stopIfTrue="1">
      <formula>IF(AND(OR($D$26="Yes",$D$26=""),OR($D$32="Yes",$D$32=""),D56=""),1,0)</formula>
    </cfRule>
  </conditionalFormatting>
  <conditionalFormatting sqref="D57:E57">
    <cfRule type="expression" dxfId="46" priority="17" stopIfTrue="1">
      <formula>IF(AND(OR($D$27="Yes",$D$27=""),OR($D$33="Yes",$D$33=""),D57=""),1,0)</formula>
    </cfRule>
  </conditionalFormatting>
  <conditionalFormatting sqref="D58:E58">
    <cfRule type="expression" dxfId="45" priority="10" stopIfTrue="1">
      <formula>IF(AND(OR($D$28="Yes",$D$28=""),OR($D$34="Yes",$D$34=""),D58=""),1,0)</formula>
    </cfRule>
  </conditionalFormatting>
  <conditionalFormatting sqref="D59:E59">
    <cfRule type="expression" dxfId="44" priority="6" stopIfTrue="1">
      <formula>IF(AND(OR($D$29="Yes",$D$29=""),OR($D$35="Yes",$D$35=""),D59=""),1,0)</formula>
    </cfRule>
  </conditionalFormatting>
  <conditionalFormatting sqref="D62:E62">
    <cfRule type="expression" dxfId="43" priority="28" stopIfTrue="1">
      <formula>IF(AND(OR($D$26="Yes",$D$26=""),OR($D$32="Yes",$D$32=""),D62=""),1,0)</formula>
    </cfRule>
  </conditionalFormatting>
  <conditionalFormatting sqref="D63:E63">
    <cfRule type="expression" dxfId="42" priority="14" stopIfTrue="1">
      <formula>IF(AND(OR($D$27="Yes",$D$27=""),OR($D$33="Yes",$D$33=""),D63=""),1,0)</formula>
    </cfRule>
  </conditionalFormatting>
  <conditionalFormatting sqref="D64:E64">
    <cfRule type="expression" dxfId="41" priority="9" stopIfTrue="1">
      <formula>IF(AND(OR($D$28="Yes",$D$28=""),OR($D$34="Yes",$D$34=""),D64=""),1,0)</formula>
    </cfRule>
  </conditionalFormatting>
  <conditionalFormatting sqref="D65:E65">
    <cfRule type="expression" dxfId="40" priority="5" stopIfTrue="1">
      <formula>IF(AND(OR($D$29="Yes",$D$29=""),OR($D$35="Yes",$D$35=""),D65=""),1,0)</formula>
    </cfRule>
  </conditionalFormatting>
  <conditionalFormatting sqref="D68:E68">
    <cfRule type="expression" dxfId="39" priority="20" stopIfTrue="1">
      <formula>IF(AND(OR($D$26="Yes",$D$26=""),OR($D$32="Yes",$D$32=""),D68=""),1,0)</formula>
    </cfRule>
  </conditionalFormatting>
  <conditionalFormatting sqref="D69:E69">
    <cfRule type="expression" dxfId="38" priority="16" stopIfTrue="1">
      <formula>IF(AND(OR($D$27="Yes",$D$27=""),OR($D$33="Yes",$D$33=""),D69=""),1,0)</formula>
    </cfRule>
  </conditionalFormatting>
  <conditionalFormatting sqref="D70:E70">
    <cfRule type="expression" dxfId="37" priority="162" stopIfTrue="1">
      <formula>IF(AND(OR($D$28="Yes",$D$28=""),OR($D$34="Yes",$D$34=""),D70=""),1,0)</formula>
    </cfRule>
  </conditionalFormatting>
  <conditionalFormatting sqref="D71:E71">
    <cfRule type="expression" dxfId="36" priority="164" stopIfTrue="1">
      <formula>IF(AND(OR($D$29="Yes",$D$29=""),OR($D$35="Yes",$D$35=""),D71=""),1,0)</formula>
    </cfRule>
  </conditionalFormatting>
  <conditionalFormatting sqref="D75:E75 D77:E77 D79:E79 D81:E81 D83 D85:E85 D87:E87 D89:E89">
    <cfRule type="expression" dxfId="35" priority="85" stopIfTrue="1">
      <formula>AND(OR($D$26="No",AND($D$26="Yes",$D$32="No")),OR($D$27="No",AND($D$27="Yes",$D$33="No")),OR($D$28="No",AND($D$28="Yes",$D$34="No")),OR($D$29="No",AND($D$29="Yes",$D$35="No")))</formula>
    </cfRule>
    <cfRule type="expression" dxfId="34" priority="86" stopIfTrue="1">
      <formula>IF(D75="",TRUE)</formula>
    </cfRule>
  </conditionalFormatting>
  <conditionalFormatting sqref="D9:G9">
    <cfRule type="expression" dxfId="33" priority="152" stopIfTrue="1">
      <formula>IF($D$9="",TRUE)</formula>
    </cfRule>
  </conditionalFormatting>
  <conditionalFormatting sqref="D8:J8">
    <cfRule type="expression" dxfId="32" priority="151" stopIfTrue="1">
      <formula>IF($D$8="",TRUE)</formula>
    </cfRule>
  </conditionalFormatting>
  <conditionalFormatting sqref="D10:J10">
    <cfRule type="expression" dxfId="31" priority="166" stopIfTrue="1">
      <formula>IF(AND($D$10="",$D$9=$R$9),TRUE)</formula>
    </cfRule>
    <cfRule type="expression" dxfId="30" priority="56" stopIfTrue="1">
      <formula>IF($D$9=$Q$9,TRUE)</formula>
    </cfRule>
  </conditionalFormatting>
  <conditionalFormatting sqref="D15:J15">
    <cfRule type="expression" dxfId="29" priority="153" stopIfTrue="1">
      <formula>IF($D$15="",TRUE)</formula>
    </cfRule>
  </conditionalFormatting>
  <conditionalFormatting sqref="D16:J16">
    <cfRule type="expression" dxfId="28" priority="154" stopIfTrue="1">
      <formula>IF($D$16="",TRUE)</formula>
    </cfRule>
  </conditionalFormatting>
  <conditionalFormatting sqref="D17:J17">
    <cfRule type="expression" dxfId="27" priority="22" stopIfTrue="1">
      <formula>IF($D$17="",TRUE)</formula>
    </cfRule>
  </conditionalFormatting>
  <conditionalFormatting sqref="D18:J18">
    <cfRule type="expression" dxfId="26" priority="156" stopIfTrue="1">
      <formula>IF($D$18="",TRUE)</formula>
    </cfRule>
  </conditionalFormatting>
  <conditionalFormatting sqref="D20:J20">
    <cfRule type="expression" dxfId="25" priority="35" stopIfTrue="1">
      <formula>IF($D$20="",TRUE)</formula>
    </cfRule>
  </conditionalFormatting>
  <conditionalFormatting sqref="G77:J77">
    <cfRule type="expression" dxfId="24" priority="57" stopIfTrue="1">
      <formula>IF(AND($D$77="Yes",$G$77=""),TRUE)</formula>
    </cfRule>
  </conditionalFormatting>
  <conditionalFormatting sqref="G85:J85">
    <cfRule type="expression" dxfId="23"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C1" zoomScale="85" zoomScaleNormal="85" zoomScalePageLayoutView="55" workbookViewId="0">
      <selection activeCell="E18" sqref="E1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488</v>
      </c>
    </row>
    <row r="3" spans="1:34" s="221" customFormat="1" ht="173.4"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 ca="1" si="1">IF(AND(C5="Smelter not listed",OR(LEN(D5)=0,LEN(E5)=0)),1,0)</f>
        <v>0</v>
      </c>
      <c r="AB5" s="228" t="str">
        <f t="shared" ref="AB5" ca="1" si="2">B5&amp;C5</f>
        <v>TinChenzhou Yunxiang Mining and Metallurgy Co., Ltd.</v>
      </c>
    </row>
    <row r="6" spans="1:34" s="227" customFormat="1" ht="20" customHeight="1">
      <c r="A6" s="262" t="s">
        <v>767</v>
      </c>
      <c r="B6" s="182" t="str">
        <f ca="1">IF(LEN(A6)=0,"",INDEX('Smelter Look-up'!$A:$A,MATCH($A6,'Smelter Look-up'!$E:$E,0)))</f>
        <v>Tin</v>
      </c>
      <c r="C6" s="186" t="str">
        <f ca="1">IF(LEN(A6)=0,"",INDEX('Smelter Look-up'!$C:$C,MATCH($A6,'Smelter Look-up'!$E:$E,0)))</f>
        <v>Gejiu Non-Ferrous Metal Processing Co., Ltd.</v>
      </c>
      <c r="D6" s="230"/>
      <c r="E6" s="182" t="str">
        <f ca="1">IF(ISERROR($V6),"",OFFSET('Smelter Look-up'!$D$4,$V6-4,0)&amp;"")</f>
        <v>CHINA</v>
      </c>
      <c r="F6" s="182" t="str">
        <f ca="1">IF(ISERROR($V6),"",OFFSET('Smelter Look-up'!$E$4,$V6-4,0))</f>
        <v>CID000538</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Gejiu Non-Ferrous Metal Processing Co., Ltd.</v>
      </c>
      <c r="S6" s="181" t="str">
        <f t="shared" ref="S6:S37" ca="1" si="3">IF(B6="","",IF(ISERROR(MATCH($E6,CL,0)),"Unknown",INDIRECT("'C'!$A$"&amp;MATCH($E6,CL,0)+1)))</f>
        <v>CN</v>
      </c>
      <c r="T6" s="181" t="str">
        <f ca="1">IF(B6="","",IF(ISERROR(MATCH($J6,SorP!$B$1:$B$6279,0)),"",INDIRECT("'SorP'!$A$"&amp;MATCH($S6&amp;$J6,SorP!C:C,0))))</f>
        <v>CN-YN</v>
      </c>
      <c r="U6" s="201"/>
      <c r="V6" s="226">
        <f ca="1">IF(C6="",NA(),IF(OR(C6="Smelter not listed",C6="Smelter not yet identified"),MATCH($B6&amp;$D6,'Smelter Look-up'!$J:$J,0),MATCH($B6&amp;$C6,'Smelter Look-up'!$J:$J,0)))</f>
        <v>436</v>
      </c>
      <c r="X6" s="227">
        <f t="shared" ref="X6:X37" ca="1" si="4">IF(AND(C6="Smelter not listed",OR(LEN(D6)=0,LEN(E6)=0)),1,0)</f>
        <v>0</v>
      </c>
      <c r="AB6" s="228" t="str">
        <f t="shared" ref="AB6:AB37" ca="1" si="5">B6&amp;C6</f>
        <v>TinGejiu Non-Ferrous Metal Processing Co., Ltd.</v>
      </c>
    </row>
    <row r="7" spans="1:34" s="227" customFormat="1" ht="20" customHeight="1">
      <c r="A7" s="262" t="s">
        <v>770</v>
      </c>
      <c r="B7" s="182" t="str">
        <f ca="1">IF(LEN(A7)=0,"",INDEX('Smelter Look-up'!$A:$A,MATCH($A7,'Smelter Look-up'!$E:$E,0)))</f>
        <v>Tin</v>
      </c>
      <c r="C7" s="186" t="str">
        <f ca="1">IF(LEN(A7)=0,"",INDEX('Smelter Look-up'!$C:$C,MATCH($A7,'Smelter Look-up'!$E:$E,0)))</f>
        <v>China Tin Group Co., Ltd.</v>
      </c>
      <c r="D7" s="230"/>
      <c r="E7" s="182" t="str">
        <f ca="1">IF(ISERROR($V7),"",OFFSET('Smelter Look-up'!$D$4,$V7-4,0)&amp;"")</f>
        <v>CHINA</v>
      </c>
      <c r="F7" s="182" t="str">
        <f ca="1">IF(ISERROR($V7),"",OFFSET('Smelter Look-up'!$E$4,$V7-4,0))</f>
        <v>CID001070</v>
      </c>
      <c r="G7" s="182" t="str">
        <f ca="1">IF(C7=$X$4,IF(ISERROR($V7),"Enter smelter details","RMI"),IF(ISERROR($V7),"",OFFSET('Smelter Look-up'!$F$4,$V7-4,0)))</f>
        <v>RMI</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3"/>
        <v>CN</v>
      </c>
      <c r="T7" s="181" t="str">
        <f ca="1">IF(B7="","",IF(ISERROR(MATCH($J7,SorP!$B$1:$B$6279,0)),"",INDIRECT("'SorP'!$A$"&amp;MATCH($S7&amp;$J7,SorP!C:C,0))))</f>
        <v>CN-GX</v>
      </c>
      <c r="U7" s="201"/>
      <c r="V7" s="226">
        <f ca="1">IF(C7="",NA(),IF(OR(C7="Smelter not listed",C7="Smelter not yet identified"),MATCH($B7&amp;$D7,'Smelter Look-up'!$J:$J,0),MATCH($B7&amp;$C7,'Smelter Look-up'!$J:$J,0)))</f>
        <v>403</v>
      </c>
      <c r="X7" s="227">
        <f t="shared" ca="1" si="4"/>
        <v>0</v>
      </c>
      <c r="AB7" s="228" t="str">
        <f t="shared" ca="1" si="5"/>
        <v>TinChina Tin Group Co., Ltd.</v>
      </c>
    </row>
    <row r="8" spans="1:34" s="227" customFormat="1" ht="20" customHeight="1">
      <c r="A8" s="262" t="s">
        <v>771</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3"/>
        <v>MY</v>
      </c>
      <c r="T8" s="181" t="str">
        <f ca="1">IF(B8="","",IF(ISERROR(MATCH($J8,SorP!$B$1:$B$6279,0)),"",INDIRECT("'SorP'!$A$"&amp;MATCH($S8&amp;$J8,SorP!C:C,0))))</f>
        <v>MY-07</v>
      </c>
      <c r="U8" s="201"/>
      <c r="V8" s="226">
        <f ca="1">IF(C8="",NA(),IF(OR(C8="Smelter not listed",C8="Smelter not yet identified"),MATCH($B8&amp;$D8,'Smelter Look-up'!$J:$J,0),MATCH($B8&amp;$C8,'Smelter Look-up'!$J:$J,0)))</f>
        <v>458</v>
      </c>
      <c r="X8" s="227">
        <f t="shared" ca="1" si="4"/>
        <v>0</v>
      </c>
      <c r="AB8" s="228" t="str">
        <f t="shared" ca="1" si="5"/>
        <v>TinMalaysia Smelting Corporation (MSC)</v>
      </c>
    </row>
    <row r="9" spans="1:34" s="227" customFormat="1" ht="20" customHeight="1">
      <c r="A9" s="262" t="s">
        <v>772</v>
      </c>
      <c r="B9" s="182" t="str">
        <f ca="1">IF(LEN(A9)=0,"",INDEX('Smelter Look-up'!$A:$A,MATCH($A9,'Smelter Look-up'!$E:$E,0)))</f>
        <v>Tin</v>
      </c>
      <c r="C9" s="186" t="str">
        <f ca="1">IF(LEN(A9)=0,"",INDEX('Smelter Look-up'!$C:$C,MATCH($A9,'Smelter Look-up'!$E:$E,0)))</f>
        <v>Mineracao Taboca S.A.</v>
      </c>
      <c r="D9" s="230"/>
      <c r="E9" s="182" t="str">
        <f ca="1">IF(ISERROR($V9),"",OFFSET('Smelter Look-up'!$D$4,$V9-4,0)&amp;"")</f>
        <v>BRAZIL</v>
      </c>
      <c r="F9" s="182" t="str">
        <f ca="1">IF(ISERROR($V9),"",OFFSET('Smelter Look-up'!$E$4,$V9-4,0))</f>
        <v>CID001173</v>
      </c>
      <c r="G9" s="182" t="str">
        <f ca="1">IF(C9=$X$4,IF(ISERROR($V9),"Enter smelter details","RMI"),IF(ISERROR($V9),"",OFFSET('Smelter Look-up'!$F$4,$V9-4,0)))</f>
        <v>RMI</v>
      </c>
      <c r="H9" s="183">
        <f ca="1">IF(ISERROR($V9),"",OFFSET('Smelter Look-up'!$G$4,$V9-4,0))</f>
        <v>0</v>
      </c>
      <c r="I9" s="184" t="str">
        <f ca="1">IF(ISERROR($V9),"",OFFSET('Smelter Look-up'!$H$4,$V9-4,0))</f>
        <v>Bairro Guarapiranga</v>
      </c>
      <c r="J9" s="184" t="str">
        <f ca="1">IF(ISERROR($V9),"",OFFSET('Smelter Look-up'!$I$4,$V9-4,0))</f>
        <v>São Paulo</v>
      </c>
      <c r="K9" s="224"/>
      <c r="L9" s="224"/>
      <c r="M9" s="224"/>
      <c r="N9" s="224"/>
      <c r="O9" s="224"/>
      <c r="P9" s="185"/>
      <c r="Q9" s="225"/>
      <c r="R9" s="182" t="str">
        <f ca="1">IF(ISERROR($V9),"",OFFSET('Smelter Look-up'!$C$4,$V9-4,0)&amp;"")</f>
        <v>Mineracao Taboca S.A.</v>
      </c>
      <c r="S9" s="181" t="str">
        <f t="shared" ca="1" si="3"/>
        <v>BR</v>
      </c>
      <c r="T9" s="181" t="str">
        <f ca="1">IF(B9="","",IF(ISERROR(MATCH($J9,SorP!$B$1:$B$6279,0)),"",INDIRECT("'SorP'!$A$"&amp;MATCH($S9&amp;$J9,SorP!C:C,0))))</f>
        <v>BR-SP</v>
      </c>
      <c r="U9" s="201"/>
      <c r="V9" s="226">
        <f ca="1">IF(C9="",NA(),IF(OR(C9="Smelter not listed",C9="Smelter not yet identified"),MATCH($B9&amp;$D9,'Smelter Look-up'!$J:$J,0),MATCH($B9&amp;$C9,'Smelter Look-up'!$J:$J,0)))</f>
        <v>465</v>
      </c>
      <c r="X9" s="227">
        <f t="shared" ca="1" si="4"/>
        <v>0</v>
      </c>
      <c r="AB9" s="228" t="str">
        <f t="shared" ca="1" si="5"/>
        <v>TinMineracao Taboca S.A.</v>
      </c>
    </row>
    <row r="10" spans="1:34" s="227" customFormat="1" ht="20" customHeight="1">
      <c r="A10" s="262" t="s">
        <v>773</v>
      </c>
      <c r="B10" s="182" t="str">
        <f ca="1">IF(LEN(A10)=0,"",INDEX('Smelter Look-up'!$A:$A,MATCH($A10,'Smelter Look-up'!$E:$E,0)))</f>
        <v>Tin</v>
      </c>
      <c r="C10" s="186" t="str">
        <f ca="1">IF(LEN(A10)=0,"",INDEX('Smelter Look-up'!$C:$C,MATCH($A10,'Smelter Look-up'!$E:$E,0)))</f>
        <v>Minsur</v>
      </c>
      <c r="D10" s="230"/>
      <c r="E10" s="182" t="str">
        <f ca="1">IF(ISERROR($V10),"",OFFSET('Smelter Look-up'!$D$4,$V10-4,0)&amp;"")</f>
        <v>PERU</v>
      </c>
      <c r="F10" s="182" t="str">
        <f ca="1">IF(ISERROR($V10),"",OFFSET('Smelter Look-up'!$E$4,$V10-4,0))</f>
        <v>CID001182</v>
      </c>
      <c r="G10" s="182" t="str">
        <f ca="1">IF(C10=$X$4,IF(ISERROR($V10),"Enter smelter details","RMI"),IF(ISERROR($V10),"",OFFSET('Smelter Look-up'!$F$4,$V10-4,0)))</f>
        <v>RMI</v>
      </c>
      <c r="H10" s="183">
        <f ca="1">IF(ISERROR($V10),"",OFFSET('Smelter Look-up'!$G$4,$V10-4,0))</f>
        <v>0</v>
      </c>
      <c r="I10" s="184" t="str">
        <f ca="1">IF(ISERROR($V10),"",OFFSET('Smelter Look-up'!$H$4,$V10-4,0))</f>
        <v>Paracas</v>
      </c>
      <c r="J10" s="184" t="str">
        <f ca="1">IF(ISERROR($V10),"",OFFSET('Smelter Look-up'!$I$4,$V10-4,0))</f>
        <v>Ika</v>
      </c>
      <c r="K10" s="224"/>
      <c r="L10" s="224"/>
      <c r="M10" s="224"/>
      <c r="N10" s="224"/>
      <c r="O10" s="224"/>
      <c r="P10" s="185"/>
      <c r="Q10" s="225"/>
      <c r="R10" s="182" t="str">
        <f ca="1">IF(ISERROR($V10),"",OFFSET('Smelter Look-up'!$C$4,$V10-4,0)&amp;"")</f>
        <v>Minsur</v>
      </c>
      <c r="S10" s="181" t="str">
        <f t="shared" ca="1" si="3"/>
        <v>PE</v>
      </c>
      <c r="T10" s="181" t="str">
        <f ca="1">IF(B10="","",IF(ISERROR(MATCH($J10,SorP!$B$1:$B$6279,0)),"",INDIRECT("'SorP'!$A$"&amp;MATCH($S10&amp;$J10,SorP!C:C,0))))</f>
        <v>PE-ICA</v>
      </c>
      <c r="U10" s="201"/>
      <c r="V10" s="226">
        <f ca="1">IF(C10="",NA(),IF(OR(C10="Smelter not listed",C10="Smelter not yet identified"),MATCH($B10&amp;$D10,'Smelter Look-up'!$J:$J,0),MATCH($B10&amp;$C10,'Smelter Look-up'!$J:$J,0)))</f>
        <v>470</v>
      </c>
      <c r="X10" s="227">
        <f t="shared" ca="1" si="4"/>
        <v>0</v>
      </c>
      <c r="AB10" s="228" t="str">
        <f t="shared" ca="1" si="5"/>
        <v>TinMinsur</v>
      </c>
    </row>
    <row r="11" spans="1:34" s="227" customFormat="1" ht="20" customHeight="1">
      <c r="A11" s="262" t="s">
        <v>777</v>
      </c>
      <c r="B11" s="182" t="str">
        <f ca="1">IF(LEN(A11)=0,"",INDEX('Smelter Look-up'!$A:$A,MATCH($A11,'Smelter Look-up'!$E:$E,0)))</f>
        <v>Tin</v>
      </c>
      <c r="C11" s="186" t="str">
        <f ca="1">IF(LEN(A11)=0,"",INDEX('Smelter Look-up'!$C:$C,MATCH($A11,'Smelter Look-up'!$E:$E,0)))</f>
        <v>Operaciones Metalurgicas S.A.</v>
      </c>
      <c r="D11" s="230"/>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Operaciones Metalurgicas S.A.</v>
      </c>
      <c r="S11" s="181" t="str">
        <f t="shared" ca="1" si="3"/>
        <v>BO</v>
      </c>
      <c r="T11" s="181" t="str">
        <f ca="1">IF(B11="","",IF(ISERROR(MATCH($J11,SorP!$B$1:$B$6279,0)),"",INDIRECT("'SorP'!$A$"&amp;MATCH($S11&amp;$J11,SorP!C:C,0))))</f>
        <v>BO-O</v>
      </c>
      <c r="U11" s="201"/>
      <c r="V11" s="226">
        <f ca="1">IF(C11="",NA(),IF(OR(C11="Smelter not listed",C11="Smelter not yet identified"),MATCH($B11&amp;$D11,'Smelter Look-up'!$J:$J,0),MATCH($B11&amp;$C11,'Smelter Look-up'!$J:$J,0)))</f>
        <v>482</v>
      </c>
      <c r="X11" s="227">
        <f t="shared" ca="1" si="4"/>
        <v>0</v>
      </c>
      <c r="AB11" s="228" t="str">
        <f t="shared" ca="1" si="5"/>
        <v>TinOperaciones Metalurgicas S.A.</v>
      </c>
    </row>
    <row r="12" spans="1:34" s="227" customFormat="1" ht="20" customHeight="1">
      <c r="A12" s="262" t="s">
        <v>780</v>
      </c>
      <c r="B12" s="182" t="str">
        <f ca="1">IF(LEN(A12)=0,"",INDEX('Smelter Look-up'!$A:$A,MATCH($A12,'Smelter Look-up'!$E:$E,0)))</f>
        <v>Tin</v>
      </c>
      <c r="C12" s="186" t="str">
        <f ca="1">IF(LEN(A12)=0,"",INDEX('Smelter Look-up'!$C:$C,MATCH($A12,'Smelter Look-up'!$E:$E,0)))</f>
        <v>PT Refined Bangka Tin</v>
      </c>
      <c r="D12" s="230"/>
      <c r="E12" s="182" t="str">
        <f ca="1">IF(ISERROR($V12),"",OFFSET('Smelter Look-up'!$D$4,$V12-4,0)&amp;"")</f>
        <v>INDONESIA</v>
      </c>
      <c r="F12" s="182" t="str">
        <f ca="1">IF(ISERROR($V12),"",OFFSET('Smelter Look-up'!$E$4,$V12-4,0))</f>
        <v>CID001460</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Refined Bangka Tin</v>
      </c>
      <c r="S12" s="181" t="str">
        <f t="shared" ca="1" si="3"/>
        <v>ID</v>
      </c>
      <c r="T12" s="181" t="str">
        <f ca="1">IF(B12="","",IF(ISERROR(MATCH($J12,SorP!$B$1:$B$6279,0)),"",INDIRECT("'SorP'!$A$"&amp;MATCH($S12&amp;$J12,SorP!C:C,0))))</f>
        <v>ID-BB</v>
      </c>
      <c r="U12" s="201"/>
      <c r="V12" s="226">
        <f ca="1">IF(C12="",NA(),IF(OR(C12="Smelter not listed",C12="Smelter not yet identified"),MATCH($B12&amp;$D12,'Smelter Look-up'!$J:$J,0),MATCH($B12&amp;$C12,'Smelter Look-up'!$J:$J,0)))</f>
        <v>507</v>
      </c>
      <c r="X12" s="227">
        <f t="shared" ca="1" si="4"/>
        <v>0</v>
      </c>
      <c r="AB12" s="228" t="str">
        <f t="shared" ca="1" si="5"/>
        <v>TinPT Refined Bangka Tin</v>
      </c>
    </row>
    <row r="13" spans="1:34" s="227" customFormat="1" ht="20" customHeight="1">
      <c r="A13" s="262" t="s">
        <v>15493</v>
      </c>
      <c r="B13" s="182" t="str">
        <f ca="1">IF(LEN(A13)=0,"",INDEX('Smelter Look-up'!$A:$A,MATCH($A13,'Smelter Look-up'!$E:$E,0)))</f>
        <v>Tin</v>
      </c>
      <c r="C13" s="186" t="str">
        <f ca="1">IF(LEN(A13)=0,"",INDEX('Smelter Look-up'!$C:$C,MATCH($A13,'Smelter Look-up'!$E:$E,0)))</f>
        <v>PT Sariwiguna Binasentosa</v>
      </c>
      <c r="D13" s="230"/>
      <c r="E13" s="182" t="str">
        <f ca="1">IF(ISERROR($V13),"",OFFSET('Smelter Look-up'!$D$4,$V13-4,0)&amp;"")</f>
        <v>INDONESIA</v>
      </c>
      <c r="F13" s="182" t="str">
        <f ca="1">IF(ISERROR($V13),"",OFFSET('Smelter Look-up'!$E$4,$V13-4,0))</f>
        <v>CID001463</v>
      </c>
      <c r="G13" s="182" t="str">
        <f ca="1">IF(C13=$X$4,IF(ISERROR($V13),"Enter smelter details","RMI"),IF(ISERROR($V13),"",OFFSET('Smelter Look-up'!$F$4,$V13-4,0)))</f>
        <v>RMI</v>
      </c>
      <c r="H13" s="183">
        <f ca="1">IF(ISERROR($V13),"",OFFSET('Smelter Look-up'!$G$4,$V13-4,0))</f>
        <v>0</v>
      </c>
      <c r="I13" s="184" t="str">
        <f ca="1">IF(ISERROR($V13),"",OFFSET('Smelter Look-up'!$H$4,$V13-4,0))</f>
        <v>Pangkal Pinang</v>
      </c>
      <c r="J13" s="184" t="str">
        <f ca="1">IF(ISERROR($V13),"",OFFSET('Smelter Look-up'!$I$4,$V13-4,0))</f>
        <v>Kepulauan Bangka Belitung</v>
      </c>
      <c r="K13" s="224"/>
      <c r="L13" s="224"/>
      <c r="M13" s="224"/>
      <c r="N13" s="224"/>
      <c r="O13" s="224"/>
      <c r="P13" s="185"/>
      <c r="Q13" s="225"/>
      <c r="R13" s="182" t="str">
        <f ca="1">IF(ISERROR($V13),"",OFFSET('Smelter Look-up'!$C$4,$V13-4,0)&amp;"")</f>
        <v>PT Sariwiguna Binasentosa</v>
      </c>
      <c r="S13" s="181" t="str">
        <f t="shared" ca="1" si="3"/>
        <v>ID</v>
      </c>
      <c r="T13" s="181" t="str">
        <f ca="1">IF(B13="","",IF(ISERROR(MATCH($J13,SorP!$B$1:$B$6279,0)),"",INDIRECT("'SorP'!$A$"&amp;MATCH($S13&amp;$J13,SorP!C:C,0))))</f>
        <v>ID-BB</v>
      </c>
      <c r="U13" s="201"/>
      <c r="V13" s="226">
        <f ca="1">IF(C13="",NA(),IF(OR(C13="Smelter not listed",C13="Smelter not yet identified"),MATCH($B13&amp;$D13,'Smelter Look-up'!$J:$J,0),MATCH($B13&amp;$C13,'Smelter Look-up'!$J:$J,0)))</f>
        <v>508</v>
      </c>
      <c r="X13" s="227">
        <f t="shared" ca="1" si="4"/>
        <v>0</v>
      </c>
      <c r="AB13" s="228" t="str">
        <f t="shared" ca="1" si="5"/>
        <v>TinPT Sariwiguna Binasentosa</v>
      </c>
    </row>
    <row r="14" spans="1:34" s="227" customFormat="1" ht="20" customHeight="1">
      <c r="A14" s="262" t="s">
        <v>15116</v>
      </c>
      <c r="B14" s="182" t="str">
        <f ca="1">IF(LEN(A14)=0,"",INDEX('Smelter Look-up'!$A:$A,MATCH($A14,'Smelter Look-up'!$E:$E,0)))</f>
        <v>Tin</v>
      </c>
      <c r="C14" s="186" t="str">
        <f ca="1">IF(LEN(A14)=0,"",INDEX('Smelter Look-up'!$C:$C,MATCH($A14,'Smelter Look-up'!$E:$E,0)))</f>
        <v>PT Stanindo Inti Perkasa</v>
      </c>
      <c r="D14" s="230"/>
      <c r="E14" s="182" t="str">
        <f ca="1">IF(ISERROR($V14),"",OFFSET('Smelter Look-up'!$D$4,$V14-4,0)&amp;"")</f>
        <v>INDONESIA</v>
      </c>
      <c r="F14" s="182" t="str">
        <f ca="1">IF(ISERROR($V14),"",OFFSET('Smelter Look-up'!$E$4,$V14-4,0))</f>
        <v>CID001468</v>
      </c>
      <c r="G14" s="182" t="str">
        <f ca="1">IF(C14=$X$4,IF(ISERROR($V14),"Enter smelter details","RMI"),IF(ISERROR($V14),"",OFFSET('Smelter Look-up'!$F$4,$V14-4,0)))</f>
        <v>RMI</v>
      </c>
      <c r="H14" s="183">
        <f ca="1">IF(ISERROR($V14),"",OFFSET('Smelter Look-up'!$G$4,$V14-4,0))</f>
        <v>0</v>
      </c>
      <c r="I14" s="184" t="str">
        <f ca="1">IF(ISERROR($V14),"",OFFSET('Smelter Look-up'!$H$4,$V14-4,0))</f>
        <v>Pangkal Pinang</v>
      </c>
      <c r="J14" s="184" t="str">
        <f ca="1">IF(ISERROR($V14),"",OFFSET('Smelter Look-up'!$I$4,$V14-4,0))</f>
        <v>Kepulauan Bangka Belitung</v>
      </c>
      <c r="K14" s="224"/>
      <c r="L14" s="224"/>
      <c r="M14" s="224"/>
      <c r="N14" s="224"/>
      <c r="O14" s="224"/>
      <c r="P14" s="185"/>
      <c r="Q14" s="225"/>
      <c r="R14" s="182" t="str">
        <f ca="1">IF(ISERROR($V14),"",OFFSET('Smelter Look-up'!$C$4,$V14-4,0)&amp;"")</f>
        <v>PT Stanindo Inti Perkasa</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509</v>
      </c>
      <c r="X14" s="227">
        <f t="shared" ca="1" si="4"/>
        <v>0</v>
      </c>
      <c r="AB14" s="228" t="str">
        <f t="shared" ca="1" si="5"/>
        <v>TinPT Stanindo Inti Perkasa</v>
      </c>
    </row>
    <row r="15" spans="1:34" s="227" customFormat="1" ht="20" customHeight="1">
      <c r="A15" s="262" t="s">
        <v>800</v>
      </c>
      <c r="B15" s="182" t="str">
        <f ca="1">IF(LEN(A15)=0,"",INDEX('Smelter Look-up'!$A:$A,MATCH($A15,'Smelter Look-up'!$E:$E,0)))</f>
        <v>Tin</v>
      </c>
      <c r="C15" s="186" t="str">
        <f ca="1">IF(LEN(A15)=0,"",INDEX('Smelter Look-up'!$C:$C,MATCH($A15,'Smelter Look-up'!$E:$E,0)))</f>
        <v>PT Timah Tbk Kundur</v>
      </c>
      <c r="D15" s="230"/>
      <c r="E15" s="182" t="str">
        <f ca="1">IF(ISERROR($V15),"",OFFSET('Smelter Look-up'!$D$4,$V15-4,0)&amp;"")</f>
        <v>INDONESIA</v>
      </c>
      <c r="F15" s="182" t="str">
        <f ca="1">IF(ISERROR($V15),"",OFFSET('Smelter Look-up'!$E$4,$V15-4,0))</f>
        <v>CID001477</v>
      </c>
      <c r="G15" s="182" t="str">
        <f ca="1">IF(C15=$X$4,IF(ISERROR($V15),"Enter smelter details","RMI"),IF(ISERROR($V15),"",OFFSET('Smelter Look-up'!$F$4,$V15-4,0)))</f>
        <v>RMI</v>
      </c>
      <c r="H15" s="183">
        <f ca="1">IF(ISERROR($V15),"",OFFSET('Smelter Look-up'!$G$4,$V15-4,0))</f>
        <v>0</v>
      </c>
      <c r="I15" s="184" t="str">
        <f ca="1">IF(ISERROR($V15),"",OFFSET('Smelter Look-up'!$H$4,$V15-4,0))</f>
        <v>Kundur</v>
      </c>
      <c r="J15" s="184" t="str">
        <f ca="1">IF(ISERROR($V15),"",OFFSET('Smelter Look-up'!$I$4,$V15-4,0))</f>
        <v>Riau</v>
      </c>
      <c r="K15" s="224"/>
      <c r="L15" s="224"/>
      <c r="M15" s="224"/>
      <c r="N15" s="224"/>
      <c r="O15" s="224"/>
      <c r="P15" s="185"/>
      <c r="Q15" s="225"/>
      <c r="R15" s="182" t="str">
        <f ca="1">IF(ISERROR($V15),"",OFFSET('Smelter Look-up'!$C$4,$V15-4,0)&amp;"")</f>
        <v>PT Timah Tbk Kundur</v>
      </c>
      <c r="S15" s="181" t="str">
        <f t="shared" ca="1" si="3"/>
        <v>ID</v>
      </c>
      <c r="T15" s="181" t="str">
        <f ca="1">IF(B15="","",IF(ISERROR(MATCH($J15,SorP!$B$1:$B$6279,0)),"",INDIRECT("'SorP'!$A$"&amp;MATCH($S15&amp;$J15,SorP!C:C,0))))</f>
        <v>ID-RI</v>
      </c>
      <c r="U15" s="201"/>
      <c r="V15" s="226">
        <f ca="1">IF(C15="",NA(),IF(OR(C15="Smelter not listed",C15="Smelter not yet identified"),MATCH($B15&amp;$D15,'Smelter Look-up'!$J:$J,0),MATCH($B15&amp;$C15,'Smelter Look-up'!$J:$J,0)))</f>
        <v>513</v>
      </c>
      <c r="X15" s="227">
        <f t="shared" ca="1" si="4"/>
        <v>0</v>
      </c>
      <c r="AB15" s="228" t="str">
        <f t="shared" ca="1" si="5"/>
        <v>TinPT Timah Tbk Kundur</v>
      </c>
    </row>
    <row r="16" spans="1:34" s="227" customFormat="1" ht="20" customHeight="1">
      <c r="A16" s="262" t="s">
        <v>781</v>
      </c>
      <c r="B16" s="182" t="str">
        <f ca="1">IF(LEN(A16)=0,"",INDEX('Smelter Look-up'!$A:$A,MATCH($A16,'Smelter Look-up'!$E:$E,0)))</f>
        <v>Tin</v>
      </c>
      <c r="C16" s="186" t="str">
        <f ca="1">IF(LEN(A16)=0,"",INDEX('Smelter Look-up'!$C:$C,MATCH($A16,'Smelter Look-up'!$E:$E,0)))</f>
        <v>PT Timah Tbk Mentok</v>
      </c>
      <c r="D16" s="230"/>
      <c r="E16" s="182" t="str">
        <f ca="1">IF(ISERROR($V16),"",OFFSET('Smelter Look-up'!$D$4,$V16-4,0)&amp;"")</f>
        <v>INDONESIA</v>
      </c>
      <c r="F16" s="182" t="str">
        <f ca="1">IF(ISERROR($V16),"",OFFSET('Smelter Look-up'!$E$4,$V16-4,0))</f>
        <v>CID001482</v>
      </c>
      <c r="G16" s="182" t="str">
        <f ca="1">IF(C16=$X$4,IF(ISERROR($V16),"Enter smelter details","RMI"),IF(ISERROR($V16),"",OFFSET('Smelter Look-up'!$F$4,$V16-4,0)))</f>
        <v>RMI</v>
      </c>
      <c r="H16" s="183">
        <f ca="1">IF(ISERROR($V16),"",OFFSET('Smelter Look-up'!$G$4,$V16-4,0))</f>
        <v>0</v>
      </c>
      <c r="I16" s="184" t="str">
        <f ca="1">IF(ISERROR($V16),"",OFFSET('Smelter Look-up'!$H$4,$V16-4,0))</f>
        <v>Mentok</v>
      </c>
      <c r="J16" s="184" t="str">
        <f ca="1">IF(ISERROR($V16),"",OFFSET('Smelter Look-up'!$I$4,$V16-4,0))</f>
        <v>Kepulauan Bangka Belitung</v>
      </c>
      <c r="K16" s="224"/>
      <c r="L16" s="224"/>
      <c r="M16" s="224"/>
      <c r="N16" s="224"/>
      <c r="O16" s="224"/>
      <c r="P16" s="185"/>
      <c r="Q16" s="225"/>
      <c r="R16" s="182" t="str">
        <f ca="1">IF(ISERROR($V16),"",OFFSET('Smelter Look-up'!$C$4,$V16-4,0)&amp;"")</f>
        <v>PT Timah Tbk Mentok</v>
      </c>
      <c r="S16" s="181" t="str">
        <f t="shared" ca="1" si="3"/>
        <v>ID</v>
      </c>
      <c r="T16" s="181" t="str">
        <f ca="1">IF(B16="","",IF(ISERROR(MATCH($J16,SorP!$B$1:$B$6279,0)),"",INDIRECT("'SorP'!$A$"&amp;MATCH($S16&amp;$J16,SorP!C:C,0))))</f>
        <v>ID-BB</v>
      </c>
      <c r="U16" s="201"/>
      <c r="V16" s="226">
        <f ca="1">IF(C16="",NA(),IF(OR(C16="Smelter not listed",C16="Smelter not yet identified"),MATCH($B16&amp;$D16,'Smelter Look-up'!$J:$J,0),MATCH($B16&amp;$C16,'Smelter Look-up'!$J:$J,0)))</f>
        <v>514</v>
      </c>
      <c r="X16" s="227">
        <f t="shared" ca="1" si="4"/>
        <v>0</v>
      </c>
      <c r="AB16" s="228" t="str">
        <f t="shared" ca="1" si="5"/>
        <v>TinPT Timah Tbk Mentok</v>
      </c>
    </row>
    <row r="17" spans="1:28" s="227" customFormat="1" ht="20" customHeight="1">
      <c r="A17" s="262" t="s">
        <v>783</v>
      </c>
      <c r="B17" s="182" t="str">
        <f ca="1">IF(LEN(A17)=0,"",INDEX('Smelter Look-up'!$A:$A,MATCH($A17,'Smelter Look-up'!$E:$E,0)))</f>
        <v>Tin</v>
      </c>
      <c r="C17" s="186" t="str">
        <f ca="1">IF(LEN(A17)=0,"",INDEX('Smelter Look-up'!$C:$C,MATCH($A17,'Smelter Look-up'!$E:$E,0)))</f>
        <v>Rui Da Hung</v>
      </c>
      <c r="D17" s="230"/>
      <c r="E17" s="182" t="str">
        <f ca="1">IF(ISERROR($V17),"",OFFSET('Smelter Look-up'!$D$4,$V17-4,0)&amp;"")</f>
        <v>TAIWAN, PROVINCE OF CHINA</v>
      </c>
      <c r="F17" s="182" t="str">
        <f ca="1">IF(ISERROR($V17),"",OFFSET('Smelter Look-up'!$E$4,$V17-4,0))</f>
        <v>CID001539</v>
      </c>
      <c r="G17" s="182" t="str">
        <f ca="1">IF(C17=$X$4,IF(ISERROR($V17),"Enter smelter details","RMI"),IF(ISERROR($V17),"",OFFSET('Smelter Look-up'!$F$4,$V17-4,0)))</f>
        <v>RMI</v>
      </c>
      <c r="H17" s="183">
        <f ca="1">IF(ISERROR($V17),"",OFFSET('Smelter Look-up'!$G$4,$V17-4,0))</f>
        <v>0</v>
      </c>
      <c r="I17" s="184" t="str">
        <f ca="1">IF(ISERROR($V17),"",OFFSET('Smelter Look-up'!$H$4,$V17-4,0))</f>
        <v>Longtan Shiang Taoyuan</v>
      </c>
      <c r="J17" s="184" t="str">
        <f ca="1">IF(ISERROR($V17),"",OFFSET('Smelter Look-up'!$I$4,$V17-4,0))</f>
        <v>Taoyuan</v>
      </c>
      <c r="K17" s="224"/>
      <c r="L17" s="224"/>
      <c r="M17" s="224"/>
      <c r="N17" s="224"/>
      <c r="O17" s="224"/>
      <c r="P17" s="185"/>
      <c r="Q17" s="225"/>
      <c r="R17" s="182" t="str">
        <f ca="1">IF(ISERROR($V17),"",OFFSET('Smelter Look-up'!$C$4,$V17-4,0)&amp;"")</f>
        <v>Rui Da Hung</v>
      </c>
      <c r="S17" s="181" t="str">
        <f t="shared" ca="1" si="3"/>
        <v>TW</v>
      </c>
      <c r="T17" s="181" t="str">
        <f ca="1">IF(B17="","",IF(ISERROR(MATCH($J17,SorP!$B$1:$B$6279,0)),"",INDIRECT("'SorP'!$A$"&amp;MATCH($S17&amp;$J17,SorP!C:C,0))))</f>
        <v>TW-TAO</v>
      </c>
      <c r="U17" s="201"/>
      <c r="V17" s="226">
        <f ca="1">IF(C17="",NA(),IF(OR(C17="Smelter not listed",C17="Smelter not yet identified"),MATCH($B17&amp;$D17,'Smelter Look-up'!$J:$J,0),MATCH($B17&amp;$C17,'Smelter Look-up'!$J:$J,0)))</f>
        <v>521</v>
      </c>
      <c r="X17" s="227">
        <f t="shared" ca="1" si="4"/>
        <v>0</v>
      </c>
      <c r="AB17" s="228" t="str">
        <f t="shared" ca="1" si="5"/>
        <v>TinRui Da Hung</v>
      </c>
    </row>
    <row r="18" spans="1:28" s="227" customFormat="1" ht="20" customHeight="1">
      <c r="A18" s="181" t="s">
        <v>784</v>
      </c>
      <c r="B18" s="182" t="str">
        <f ca="1">IF(LEN(A18)=0,"",INDEX('Smelter Look-up'!$A:$A,MATCH($A18,'Smelter Look-up'!$E:$E,0)))</f>
        <v>Tin</v>
      </c>
      <c r="C18" s="186" t="str">
        <f ca="1">IF(LEN(A18)=0,"",INDEX('Smelter Look-up'!$C:$C,MATCH($A18,'Smelter Look-up'!$E:$E,0)))</f>
        <v>Thaisarco</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c r="R18" s="182" t="str">
        <f ca="1">IF(ISERROR($V18),"",OFFSET('Smelter Look-up'!$C$4,$V18-4,0)&amp;"")</f>
        <v>Thaisarco</v>
      </c>
      <c r="S18" s="181" t="str">
        <f t="shared" ca="1" si="3"/>
        <v>TH</v>
      </c>
      <c r="T18" s="181" t="str">
        <f ca="1">IF(B18="","",IF(ISERROR(MATCH($J18,SorP!$B$1:$B$6279,0)),"",INDIRECT("'SorP'!$A$"&amp;MATCH($S18&amp;$J18,SorP!C:C,0))))</f>
        <v>TH-83</v>
      </c>
      <c r="U18" s="201"/>
      <c r="V18" s="226">
        <f ca="1">IF(C18="",NA(),IF(OR(C18="Smelter not listed",C18="Smelter not yet identified"),MATCH($B18&amp;$D18,'Smelter Look-up'!$J:$J,0),MATCH($B18&amp;$C18,'Smelter Look-up'!$J:$J,0)))</f>
        <v>526</v>
      </c>
      <c r="X18" s="227">
        <f t="shared" ca="1" si="4"/>
        <v>0</v>
      </c>
      <c r="AB18" s="228" t="str">
        <f t="shared" ca="1" si="5"/>
        <v>TinThaisarco</v>
      </c>
    </row>
    <row r="19" spans="1:28" s="227" customFormat="1" ht="20">
      <c r="A19" s="181" t="s">
        <v>786</v>
      </c>
      <c r="B19" s="182" t="str">
        <f ca="1">IF(LEN(A19)=0,"",INDEX('Smelter Look-up'!$A:$A,MATCH($A19,'Smelter Look-up'!$E:$E,0)))</f>
        <v>Tin</v>
      </c>
      <c r="C19" s="186" t="str">
        <f ca="1">IF(LEN(A19)=0,"",INDEX('Smelter Look-up'!$C:$C,MATCH($A19,'Smelter Look-up'!$E:$E,0)))</f>
        <v>Yunnan Chengfeng Non-ferrous Metals Co., Ltd.</v>
      </c>
      <c r="D19" s="230"/>
      <c r="E19" s="182" t="str">
        <f ca="1">IF(ISERROR($V19),"",OFFSET('Smelter Look-up'!$D$4,$V19-4,0)&amp;"")</f>
        <v>CHINA</v>
      </c>
      <c r="F19" s="182" t="str">
        <f ca="1">IF(ISERROR($V19),"",OFFSET('Smelter Look-up'!$E$4,$V19-4,0))</f>
        <v>CID002158</v>
      </c>
      <c r="G19" s="182" t="str">
        <f ca="1">IF(C19=$X$4,IF(ISERROR($V19),"Enter smelter details","RMI"),IF(ISERROR($V19),"",OFFSET('Smelter Look-up'!$F$4,$V19-4,0)))</f>
        <v>RMI</v>
      </c>
      <c r="H19" s="183">
        <f ca="1">IF(ISERROR($V19),"",OFFSET('Smelter Look-up'!$G$4,$V19-4,0))</f>
        <v>0</v>
      </c>
      <c r="I19" s="184" t="str">
        <f ca="1">IF(ISERROR($V19),"",OFFSET('Smelter Look-up'!$H$4,$V19-4,0))</f>
        <v>Gejiu</v>
      </c>
      <c r="J19" s="184" t="str">
        <f ca="1">IF(ISERROR($V19),"",OFFSET('Smelter Look-up'!$I$4,$V19-4,0))</f>
        <v>Yunnan Sheng</v>
      </c>
      <c r="K19" s="224"/>
      <c r="L19" s="224"/>
      <c r="M19" s="224"/>
      <c r="N19" s="224"/>
      <c r="O19" s="224"/>
      <c r="P19" s="185"/>
      <c r="Q19" s="225"/>
      <c r="R19" s="182" t="str">
        <f ca="1">IF(ISERROR($V19),"",OFFSET('Smelter Look-up'!$C$4,$V19-4,0)&amp;"")</f>
        <v>Yunnan Chengfeng Non-ferrous Metals Co., Ltd.</v>
      </c>
      <c r="S19" s="181" t="str">
        <f t="shared" ca="1" si="3"/>
        <v>CN</v>
      </c>
      <c r="T19" s="181" t="str">
        <f ca="1">IF(B19="","",IF(ISERROR(MATCH($J19,SorP!$B$1:$B$6279,0)),"",INDIRECT("'SorP'!$A$"&amp;MATCH($S19&amp;$J19,SorP!C:C,0))))</f>
        <v>CN-YN</v>
      </c>
      <c r="U19" s="201"/>
      <c r="V19" s="226">
        <f ca="1">IF(C19="",NA(),IF(OR(C19="Smelter not listed",C19="Smelter not yet identified"),MATCH($B19&amp;$D19,'Smelter Look-up'!$J:$J,0),MATCH($B19&amp;$C19,'Smelter Look-up'!$J:$J,0)))</f>
        <v>543</v>
      </c>
      <c r="X19" s="227">
        <f t="shared" ca="1" si="4"/>
        <v>0</v>
      </c>
      <c r="AB19" s="228" t="str">
        <f t="shared" ca="1" si="5"/>
        <v>TinYunnan Chengfeng Non-ferrous Metals Co., Ltd.</v>
      </c>
    </row>
    <row r="20" spans="1:28" s="227" customFormat="1" ht="20">
      <c r="A20" s="181" t="s">
        <v>787</v>
      </c>
      <c r="B20" s="182" t="str">
        <f ca="1">IF(LEN(A20)=0,"",INDEX('Smelter Look-up'!$A:$A,MATCH($A20,'Smelter Look-up'!$E:$E,0)))</f>
        <v>Tin</v>
      </c>
      <c r="C20" s="186" t="str">
        <f ca="1">IF(LEN(A20)=0,"",INDEX('Smelter Look-up'!$C:$C,MATCH($A20,'Smelter Look-up'!$E:$E,0)))</f>
        <v>Tin Smelting Branch of Yunnan Tin Co., Ltd.</v>
      </c>
      <c r="D20" s="230"/>
      <c r="E20" s="182" t="str">
        <f ca="1">IF(ISERROR($V20),"",OFFSET('Smelter Look-up'!$D$4,$V20-4,0)&amp;"")</f>
        <v>CHINA</v>
      </c>
      <c r="F20" s="182" t="str">
        <f ca="1">IF(ISERROR($V20),"",OFFSET('Smelter Look-up'!$E$4,$V20-4,0))</f>
        <v>CID002180</v>
      </c>
      <c r="G20" s="182" t="str">
        <f ca="1">IF(C20=$X$4,IF(ISERROR($V20),"Enter smelter details","RMI"),IF(ISERROR($V20),"",OFFSET('Smelter Look-up'!$F$4,$V20-4,0)))</f>
        <v>RMI</v>
      </c>
      <c r="H20" s="183">
        <f ca="1">IF(ISERROR($V20),"",OFFSET('Smelter Look-up'!$G$4,$V20-4,0))</f>
        <v>0</v>
      </c>
      <c r="I20" s="184" t="str">
        <f ca="1">IF(ISERROR($V20),"",OFFSET('Smelter Look-up'!$H$4,$V20-4,0))</f>
        <v>Gejiu</v>
      </c>
      <c r="J20" s="184" t="str">
        <f ca="1">IF(ISERROR($V20),"",OFFSET('Smelter Look-up'!$I$4,$V20-4,0))</f>
        <v>Yunnan Sheng</v>
      </c>
      <c r="K20" s="224"/>
      <c r="L20" s="224"/>
      <c r="M20" s="224"/>
      <c r="N20" s="224"/>
      <c r="O20" s="224"/>
      <c r="P20" s="185"/>
      <c r="Q20" s="225"/>
      <c r="R20" s="182" t="str">
        <f ca="1">IF(ISERROR($V20),"",OFFSET('Smelter Look-up'!$C$4,$V20-4,0)&amp;"")</f>
        <v>Tin Smelting Branch of Yunnan Tin Co., Ltd.</v>
      </c>
      <c r="S20" s="181" t="str">
        <f t="shared" ca="1" si="3"/>
        <v>CN</v>
      </c>
      <c r="T20" s="181" t="str">
        <f ca="1">IF(B20="","",IF(ISERROR(MATCH($J20,SorP!$B$1:$B$6279,0)),"",INDIRECT("'SorP'!$A$"&amp;MATCH($S20&amp;$J20,SorP!C:C,0))))</f>
        <v>CN-YN</v>
      </c>
      <c r="U20" s="201"/>
      <c r="V20" s="226">
        <f ca="1">IF(C20="",NA(),IF(OR(C20="Smelter not listed",C20="Smelter not yet identified"),MATCH($B20&amp;$D20,'Smelter Look-up'!$J:$J,0),MATCH($B20&amp;$C20,'Smelter Look-up'!$J:$J,0)))</f>
        <v>529</v>
      </c>
      <c r="X20" s="227">
        <f t="shared" ca="1" si="4"/>
        <v>0</v>
      </c>
      <c r="AB20" s="228" t="str">
        <f t="shared" ca="1" si="5"/>
        <v>TinTin Smelting Branch of Yunnan Tin Co., Ltd.</v>
      </c>
    </row>
    <row r="21" spans="1:28" s="227" customFormat="1" ht="20">
      <c r="A21" s="181" t="s">
        <v>1397</v>
      </c>
      <c r="B21" s="182" t="str">
        <f ca="1">IF(LEN(A21)=0,"",INDEX('Smelter Look-up'!$A:$A,MATCH($A21,'Smelter Look-up'!$E:$E,0)))</f>
        <v>Tin</v>
      </c>
      <c r="C21" s="186" t="str">
        <f ca="1">IF(LEN(A21)=0,"",INDEX('Smelter Look-up'!$C:$C,MATCH($A21,'Smelter Look-up'!$E:$E,0)))</f>
        <v>O.M. Manufacturing Philippines, Inc.</v>
      </c>
      <c r="D21" s="230"/>
      <c r="E21" s="182" t="str">
        <f ca="1">IF(ISERROR($V21),"",OFFSET('Smelter Look-up'!$D$4,$V21-4,0)&amp;"")</f>
        <v>PHILIPPINES</v>
      </c>
      <c r="F21" s="182" t="str">
        <f ca="1">IF(ISERROR($V21),"",OFFSET('Smelter Look-up'!$E$4,$V21-4,0))</f>
        <v>CID002517</v>
      </c>
      <c r="G21" s="182" t="str">
        <f ca="1">IF(C21=$X$4,IF(ISERROR($V21),"Enter smelter details","RMI"),IF(ISERROR($V21),"",OFFSET('Smelter Look-up'!$F$4,$V21-4,0)))</f>
        <v>RMI</v>
      </c>
      <c r="H21" s="183">
        <f ca="1">IF(ISERROR($V21),"",OFFSET('Smelter Look-up'!$G$4,$V21-4,0))</f>
        <v>0</v>
      </c>
      <c r="I21" s="184" t="str">
        <f ca="1">IF(ISERROR($V21),"",OFFSET('Smelter Look-up'!$H$4,$V21-4,0))</f>
        <v>Rosario</v>
      </c>
      <c r="J21" s="184" t="str">
        <f ca="1">IF(ISERROR($V21),"",OFFSET('Smelter Look-up'!$I$4,$V21-4,0))</f>
        <v>Cavite</v>
      </c>
      <c r="K21" s="224"/>
      <c r="L21" s="224"/>
      <c r="M21" s="224"/>
      <c r="N21" s="224"/>
      <c r="O21" s="224"/>
      <c r="P21" s="185"/>
      <c r="Q21" s="225"/>
      <c r="R21" s="182" t="str">
        <f ca="1">IF(ISERROR($V21),"",OFFSET('Smelter Look-up'!$C$4,$V21-4,0)&amp;"")</f>
        <v>O.M. Manufacturing Philippines, Inc.</v>
      </c>
      <c r="S21" s="181" t="str">
        <f t="shared" ca="1" si="3"/>
        <v>PH</v>
      </c>
      <c r="T21" s="181" t="str">
        <f ca="1">IF(B21="","",IF(ISERROR(MATCH($J21,SorP!$B$1:$B$6279,0)),"",INDIRECT("'SorP'!$A$"&amp;MATCH($S21&amp;$J21,SorP!C:C,0))))</f>
        <v>PH-CAV</v>
      </c>
      <c r="U21" s="201"/>
      <c r="V21" s="226">
        <f ca="1">IF(C21="",NA(),IF(OR(C21="Smelter not listed",C21="Smelter not yet identified"),MATCH($B21&amp;$D21,'Smelter Look-up'!$J:$J,0),MATCH($B21&amp;$C21,'Smelter Look-up'!$J:$J,0)))</f>
        <v>480</v>
      </c>
      <c r="X21" s="227">
        <f t="shared" ca="1" si="4"/>
        <v>0</v>
      </c>
      <c r="AB21" s="228" t="str">
        <f t="shared" ca="1" si="5"/>
        <v>TinO.M. Manufacturing Philippines, Inc.</v>
      </c>
    </row>
    <row r="22" spans="1:28" s="227" customFormat="1" ht="20">
      <c r="A22" s="181" t="s">
        <v>1815</v>
      </c>
      <c r="B22" s="182" t="str">
        <f ca="1">IF(LEN(A22)=0,"",INDEX('Smelter Look-up'!$A:$A,MATCH($A22,'Smelter Look-up'!$E:$E,0)))</f>
        <v>Tin</v>
      </c>
      <c r="C22" s="186" t="str">
        <f ca="1">IF(LEN(A22)=0,"",INDEX('Smelter Look-up'!$C:$C,MATCH($A22,'Smelter Look-up'!$E:$E,0)))</f>
        <v>Aurubis Beerse</v>
      </c>
      <c r="D22" s="230"/>
      <c r="E22" s="182" t="str">
        <f ca="1">IF(ISERROR($V22),"",OFFSET('Smelter Look-up'!$D$4,$V22-4,0)&amp;"")</f>
        <v>BELGIUM</v>
      </c>
      <c r="F22" s="182" t="str">
        <f ca="1">IF(ISERROR($V22),"",OFFSET('Smelter Look-up'!$E$4,$V22-4,0))</f>
        <v>CID002773</v>
      </c>
      <c r="G22" s="182" t="str">
        <f ca="1">IF(C22=$X$4,IF(ISERROR($V22),"Enter smelter details","RMI"),IF(ISERROR($V22),"",OFFSET('Smelter Look-up'!$F$4,$V22-4,0)))</f>
        <v>RMI</v>
      </c>
      <c r="H22" s="183">
        <f ca="1">IF(ISERROR($V22),"",OFFSET('Smelter Look-up'!$G$4,$V22-4,0))</f>
        <v>0</v>
      </c>
      <c r="I22" s="184" t="str">
        <f ca="1">IF(ISERROR($V22),"",OFFSET('Smelter Look-up'!$H$4,$V22-4,0))</f>
        <v>Beerse</v>
      </c>
      <c r="J22" s="184" t="str">
        <f ca="1">IF(ISERROR($V22),"",OFFSET('Smelter Look-up'!$I$4,$V22-4,0))</f>
        <v>Antwerpen</v>
      </c>
      <c r="K22" s="224"/>
      <c r="L22" s="224"/>
      <c r="M22" s="224"/>
      <c r="N22" s="224"/>
      <c r="O22" s="224"/>
      <c r="P22" s="185"/>
      <c r="Q22" s="225"/>
      <c r="R22" s="182" t="str">
        <f ca="1">IF(ISERROR($V22),"",OFFSET('Smelter Look-up'!$C$4,$V22-4,0)&amp;"")</f>
        <v>Aurubis Beerse</v>
      </c>
      <c r="S22" s="181" t="str">
        <f t="shared" ca="1" si="3"/>
        <v>BE</v>
      </c>
      <c r="T22" s="181" t="str">
        <f ca="1">IF(B22="","",IF(ISERROR(MATCH($J22,SorP!$B$1:$B$6279,0)),"",INDIRECT("'SorP'!$A$"&amp;MATCH($S22&amp;$J22,SorP!C:C,0))))</f>
        <v>BE-VAN</v>
      </c>
      <c r="U22" s="201"/>
      <c r="V22" s="226">
        <f ca="1">IF(C22="",NA(),IF(OR(C22="Smelter not listed",C22="Smelter not yet identified"),MATCH($B22&amp;$D22,'Smelter Look-up'!$J:$J,0),MATCH($B22&amp;$C22,'Smelter Look-up'!$J:$J,0)))</f>
        <v>394</v>
      </c>
      <c r="X22" s="227">
        <f t="shared" ca="1" si="4"/>
        <v>0</v>
      </c>
      <c r="AB22" s="228" t="str">
        <f t="shared" ca="1" si="5"/>
        <v>TinAurubis Beerse</v>
      </c>
    </row>
    <row r="23" spans="1:28" s="227" customFormat="1" ht="20">
      <c r="A23" s="181" t="s">
        <v>791</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3"/>
        <v>CN</v>
      </c>
      <c r="T23" s="181" t="str">
        <f ca="1">IF(B23="","",IF(ISERROR(MATCH($J23,SorP!$B$1:$B$6279,0)),"",INDIRECT("'SorP'!$A$"&amp;MATCH($S23&amp;$J23,SorP!C:C,0))))</f>
        <v>CN-JX</v>
      </c>
      <c r="U23" s="201"/>
      <c r="V23" s="226">
        <f ca="1">IF(C23="",NA(),IF(OR(C23="Smelter not listed",C23="Smelter not yet identified"),MATCH($B23&amp;$D23,'Smelter Look-up'!$J:$J,0),MATCH($B23&amp;$C23,'Smelter Look-up'!$J:$J,0)))</f>
        <v>573</v>
      </c>
      <c r="X23" s="227">
        <f t="shared" ca="1" si="4"/>
        <v>0</v>
      </c>
      <c r="AB23" s="228" t="str">
        <f t="shared" ca="1" si="5"/>
        <v>TungstenChongyi Zhangyuan Tungsten Co., Ltd.</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86FA01C-8B9D-42DD-8442-13795B03D71C}"/>
    </customSheetView>
  </customSheetViews>
  <mergeCells count="3">
    <mergeCell ref="J2:O2"/>
    <mergeCell ref="B3:E3"/>
    <mergeCell ref="G3:I3"/>
  </mergeCells>
  <conditionalFormatting sqref="B5:B2504">
    <cfRule type="expression" dxfId="22" priority="4" stopIfTrue="1">
      <formula>IF(B5="",TRUE)</formula>
    </cfRule>
    <cfRule type="expression" dxfId="21" priority="7" stopIfTrue="1">
      <formula>IF(AND(COUNTIF(MetalSmelter,B5&amp;C5)=0,LEN(C5)&gt;0),TRUE,FALSE)</formula>
    </cfRule>
  </conditionalFormatting>
  <conditionalFormatting sqref="C5:C2504">
    <cfRule type="expression" dxfId="20" priority="2" stopIfTrue="1">
      <formula>IF(AND(B5&lt;&gt;"",C5=""),TRUE)</formula>
    </cfRule>
  </conditionalFormatting>
  <conditionalFormatting sqref="D5:D2504">
    <cfRule type="expression" dxfId="19" priority="11" stopIfTrue="1">
      <formula>IF(AND(LEN($C5)&gt;0,AND($C5&lt;&gt;"Smelter Not Listed",ISBLANK($D5))),1,0)</formula>
    </cfRule>
    <cfRule type="expression" dxfId="18" priority="18" stopIfTrue="1">
      <formula>IF(AND(D5="",$C5=$X$4),TRUE)</formula>
    </cfRule>
    <cfRule type="expression" dxfId="17" priority="19" stopIfTrue="1">
      <formula>IF(FIND("!",D5),TRUE)</formula>
    </cfRule>
  </conditionalFormatting>
  <conditionalFormatting sqref="E5:E2504 R5:R2504">
    <cfRule type="expression" dxfId="16" priority="5" stopIfTrue="1">
      <formula>IF(AND(E5="",$C5=$X$4),TRUE)</formula>
    </cfRule>
    <cfRule type="expression" dxfId="15" priority="6" stopIfTrue="1">
      <formula>IF(FIND("!",E5),TRUE)</formula>
    </cfRule>
  </conditionalFormatting>
  <conditionalFormatting sqref="F5:F2504">
    <cfRule type="expression" dxfId="14" priority="3" stopIfTrue="1">
      <formula>IF(AND(LEN($A5)&gt;0,$A5&lt;&gt;$F5),TRUE,FALSE)</formula>
    </cfRule>
  </conditionalFormatting>
  <conditionalFormatting sqref="G5:G2504">
    <cfRule type="expression" dxfId="13"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2" priority="347" stopIfTrue="1">
      <formula>$F4=0</formula>
    </cfRule>
    <cfRule type="expression" dxfId="11" priority="348" stopIfTrue="1">
      <formula>$H4=0</formula>
    </cfRule>
    <cfRule type="expression" dxfId="10" priority="349" stopIfTrue="1">
      <formula>$H4=1</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conditionalFormatting sqref="A29:A32">
    <cfRule type="expression" dxfId="6" priority="2" stopIfTrue="1">
      <formula>$F29=0</formula>
    </cfRule>
    <cfRule type="expression" dxfId="5" priority="3" stopIfTrue="1">
      <formula>$H29=0</formula>
    </cfRule>
    <cfRule type="expression" dxfId="4" priority="4" stopIfTrue="1">
      <formula>$H29=1</formula>
    </cfRule>
  </conditionalFormatting>
  <conditionalFormatting sqref="B65:B69">
    <cfRule type="expression" dxfId="3" priority="1" stopIfTrue="1">
      <formula>IF(F65=0,TRUE)</formula>
    </cfRule>
  </conditionalFormatting>
  <conditionalFormatting sqref="D56">
    <cfRule type="expression" dxfId="2"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3" sqref="C23"/>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400" t="s">
        <v>15808</v>
      </c>
      <c r="C6" s="399" t="s">
        <v>15808</v>
      </c>
      <c r="D6" s="98"/>
      <c r="E6" s="276"/>
    </row>
    <row r="7" spans="1:6" ht="15">
      <c r="A7" s="129"/>
      <c r="B7" s="400" t="s">
        <v>15809</v>
      </c>
      <c r="C7" s="399" t="s">
        <v>15809</v>
      </c>
      <c r="D7" s="98"/>
      <c r="E7" s="276"/>
    </row>
    <row r="8" spans="1:6" ht="15">
      <c r="A8" s="129"/>
      <c r="B8" s="400" t="s">
        <v>15810</v>
      </c>
      <c r="C8" s="399" t="s">
        <v>15810</v>
      </c>
      <c r="D8" s="98"/>
      <c r="E8" s="276"/>
    </row>
    <row r="9" spans="1:6" ht="15">
      <c r="A9" s="129"/>
      <c r="B9" s="400" t="s">
        <v>15811</v>
      </c>
      <c r="C9" s="399" t="s">
        <v>15811</v>
      </c>
      <c r="D9" s="98"/>
      <c r="E9" s="276"/>
    </row>
    <row r="10" spans="1:6" ht="15">
      <c r="A10" s="129"/>
      <c r="B10" s="400" t="s">
        <v>15812</v>
      </c>
      <c r="C10" s="399" t="s">
        <v>15812</v>
      </c>
      <c r="D10" s="98"/>
      <c r="E10" s="276"/>
    </row>
    <row r="11" spans="1:6" ht="15">
      <c r="A11" s="129"/>
      <c r="B11" s="400" t="s">
        <v>15813</v>
      </c>
      <c r="C11" s="399" t="s">
        <v>15813</v>
      </c>
      <c r="D11" s="98"/>
      <c r="E11" s="276"/>
    </row>
    <row r="12" spans="1:6" ht="15">
      <c r="A12" s="129"/>
      <c r="B12" s="400" t="s">
        <v>15814</v>
      </c>
      <c r="C12" s="399" t="s">
        <v>15814</v>
      </c>
      <c r="D12" s="98"/>
      <c r="E12" s="276"/>
    </row>
    <row r="13" spans="1:6" ht="15">
      <c r="A13" s="129"/>
      <c r="B13" s="400" t="s">
        <v>15815</v>
      </c>
      <c r="C13" s="399" t="s">
        <v>15815</v>
      </c>
      <c r="D13" s="98"/>
      <c r="E13" s="276"/>
    </row>
    <row r="14" spans="1:6" ht="15">
      <c r="A14" s="129"/>
      <c r="B14" s="400" t="s">
        <v>15816</v>
      </c>
      <c r="C14" s="399" t="s">
        <v>15816</v>
      </c>
      <c r="D14" s="98"/>
      <c r="E14" s="276"/>
    </row>
    <row r="15" spans="1:6" ht="30">
      <c r="A15" s="129"/>
      <c r="B15" s="400" t="s">
        <v>15817</v>
      </c>
      <c r="C15" s="399" t="s">
        <v>15817</v>
      </c>
      <c r="D15" s="98"/>
      <c r="E15" s="276"/>
    </row>
    <row r="16" spans="1:6" ht="15">
      <c r="A16" s="129"/>
      <c r="B16" s="400" t="s">
        <v>15818</v>
      </c>
      <c r="C16" s="399" t="s">
        <v>15818</v>
      </c>
      <c r="D16" s="98"/>
      <c r="E16" s="276"/>
    </row>
    <row r="17" spans="1:5" ht="15">
      <c r="A17" s="129"/>
      <c r="B17" s="400" t="s">
        <v>15816</v>
      </c>
      <c r="C17" s="399" t="s">
        <v>15816</v>
      </c>
      <c r="D17" s="98"/>
      <c r="E17" s="276"/>
    </row>
    <row r="18" spans="1:5" ht="30">
      <c r="A18" s="129"/>
      <c r="B18" s="400" t="s">
        <v>15817</v>
      </c>
      <c r="C18" s="399" t="s">
        <v>15817</v>
      </c>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4" t="str">
        <f ca="1">OFFSET(L!$C$1,MATCH("General"&amp;"Cpy",L!$A:$A,0)-1,SL,,)</f>
        <v>© 2023 Responsible Minerals Initiative. All rights reserved.</v>
      </c>
      <c r="C2006" s="394"/>
      <c r="D2006" s="394"/>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2023-05-26T17:12:03Z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