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codeName="ThisWorkbook" autoCompressPictures="0"/>
  <mc:AlternateContent xmlns:mc="http://schemas.openxmlformats.org/markup-compatibility/2006">
    <mc:Choice Requires="x15">
      <x15ac:absPath xmlns:x15ac="http://schemas.microsoft.com/office/spreadsheetml/2010/11/ac" url="C:\Users\jessicam\Documents\Product Compliance\Responsible Minerals Initiative\CMRT\"/>
    </mc:Choice>
  </mc:AlternateContent>
  <xr:revisionPtr revIDLastSave="0" documentId="13_ncr:1_{0AE3E359-3752-4718-A968-6A1D0D6DE1C8}"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28920" yWindow="-105"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0" i="5" l="1"/>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8" i="5" s="1"/>
  <c r="C4" i="5"/>
  <c r="C12"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20" i="5"/>
  <c r="E20" i="5"/>
  <c r="X20" i="5" s="1"/>
  <c r="V21" i="5"/>
  <c r="E21" i="5"/>
  <c r="X21" i="5" s="1"/>
  <c r="V22" i="5"/>
  <c r="E22" i="5"/>
  <c r="X22" i="5" s="1"/>
  <c r="V23" i="5"/>
  <c r="E23" i="5"/>
  <c r="X23" i="5" s="1"/>
  <c r="V24" i="5"/>
  <c r="E24" i="5"/>
  <c r="X24" i="5" s="1"/>
  <c r="V25" i="5"/>
  <c r="E25" i="5"/>
  <c r="X25" i="5" s="1"/>
  <c r="V26" i="5"/>
  <c r="E26" i="5"/>
  <c r="X26" i="5" s="1"/>
  <c r="V27" i="5"/>
  <c r="E27" i="5"/>
  <c r="X27" i="5" s="1"/>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X40" i="5" s="1"/>
  <c r="V41" i="5"/>
  <c r="E41" i="5"/>
  <c r="X41" i="5" s="1"/>
  <c r="V42" i="5"/>
  <c r="E42" i="5"/>
  <c r="X42" i="5" s="1"/>
  <c r="V43" i="5"/>
  <c r="E43" i="5"/>
  <c r="V44" i="5"/>
  <c r="E44" i="5"/>
  <c r="V45" i="5"/>
  <c r="E45" i="5"/>
  <c r="X45" i="5" s="1"/>
  <c r="V46" i="5"/>
  <c r="E46" i="5"/>
  <c r="X46" i="5" s="1"/>
  <c r="V47" i="5"/>
  <c r="E47" i="5"/>
  <c r="X47" i="5" s="1"/>
  <c r="V48" i="5"/>
  <c r="E48" i="5"/>
  <c r="V49" i="5"/>
  <c r="E49" i="5"/>
  <c r="X49" i="5" s="1"/>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X66" i="5" s="1"/>
  <c r="V67" i="5"/>
  <c r="E67" i="5"/>
  <c r="X67" i="5" s="1"/>
  <c r="V68" i="5"/>
  <c r="E68" i="5"/>
  <c r="X68" i="5" s="1"/>
  <c r="V69" i="5"/>
  <c r="E69" i="5"/>
  <c r="X69" i="5" s="1"/>
  <c r="V70" i="5"/>
  <c r="E70" i="5"/>
  <c r="X70" i="5" s="1"/>
  <c r="V71" i="5"/>
  <c r="E71" i="5"/>
  <c r="X71" i="5" s="1"/>
  <c r="V72" i="5"/>
  <c r="E72" i="5"/>
  <c r="X72" i="5" s="1"/>
  <c r="V73" i="5"/>
  <c r="E73" i="5"/>
  <c r="X73" i="5" s="1"/>
  <c r="V74" i="5"/>
  <c r="E74" i="5"/>
  <c r="X74" i="5" s="1"/>
  <c r="V75" i="5"/>
  <c r="E75" i="5"/>
  <c r="X75" i="5" s="1"/>
  <c r="V76" i="5"/>
  <c r="E76" i="5"/>
  <c r="X76" i="5" s="1"/>
  <c r="V77" i="5"/>
  <c r="E77" i="5"/>
  <c r="X77" i="5" s="1"/>
  <c r="V78" i="5"/>
  <c r="E78" i="5"/>
  <c r="X78" i="5" s="1"/>
  <c r="V79" i="5"/>
  <c r="E79" i="5"/>
  <c r="X79" i="5" s="1"/>
  <c r="V80" i="5"/>
  <c r="E80" i="5"/>
  <c r="X80" i="5" s="1"/>
  <c r="V81" i="5"/>
  <c r="E81" i="5"/>
  <c r="X81" i="5" s="1"/>
  <c r="V82" i="5"/>
  <c r="E82" i="5"/>
  <c r="X82" i="5" s="1"/>
  <c r="V83" i="5"/>
  <c r="E83" i="5"/>
  <c r="X83" i="5" s="1"/>
  <c r="V84" i="5"/>
  <c r="E84" i="5"/>
  <c r="X84" i="5" s="1"/>
  <c r="V85" i="5"/>
  <c r="E85" i="5"/>
  <c r="X85" i="5" s="1"/>
  <c r="V86" i="5"/>
  <c r="E86" i="5"/>
  <c r="X86" i="5" s="1"/>
  <c r="V87" i="5"/>
  <c r="E87" i="5"/>
  <c r="X87" i="5" s="1"/>
  <c r="V88" i="5"/>
  <c r="E88" i="5"/>
  <c r="X88" i="5" s="1"/>
  <c r="V89" i="5"/>
  <c r="E89" i="5"/>
  <c r="X89" i="5" s="1"/>
  <c r="V90" i="5"/>
  <c r="E90" i="5"/>
  <c r="X90" i="5" s="1"/>
  <c r="V91" i="5"/>
  <c r="E91" i="5"/>
  <c r="X91" i="5" s="1"/>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V101" i="5"/>
  <c r="E101" i="5"/>
  <c r="X101" i="5" s="1"/>
  <c r="V102" i="5"/>
  <c r="E102" i="5"/>
  <c r="X102" i="5" s="1"/>
  <c r="V103" i="5"/>
  <c r="E103" i="5"/>
  <c r="X103" i="5" s="1"/>
  <c r="V104" i="5"/>
  <c r="E104" i="5"/>
  <c r="X104" i="5" s="1"/>
  <c r="V105" i="5"/>
  <c r="E105" i="5"/>
  <c r="X105" i="5" s="1"/>
  <c r="V106" i="5"/>
  <c r="E106" i="5"/>
  <c r="X106" i="5" s="1"/>
  <c r="V107" i="5"/>
  <c r="E107" i="5"/>
  <c r="X107" i="5" s="1"/>
  <c r="V108" i="5"/>
  <c r="E108" i="5"/>
  <c r="V109" i="5"/>
  <c r="E109" i="5"/>
  <c r="X109" i="5" s="1"/>
  <c r="V110" i="5"/>
  <c r="E110" i="5"/>
  <c r="X110" i="5" s="1"/>
  <c r="V111" i="5"/>
  <c r="E111" i="5"/>
  <c r="X111" i="5" s="1"/>
  <c r="V112" i="5"/>
  <c r="E112" i="5"/>
  <c r="X112" i="5" s="1"/>
  <c r="V113" i="5"/>
  <c r="E113" i="5"/>
  <c r="X113" i="5" s="1"/>
  <c r="V114" i="5"/>
  <c r="E114" i="5"/>
  <c r="X114" i="5" s="1"/>
  <c r="V115" i="5"/>
  <c r="E115" i="5"/>
  <c r="X115" i="5" s="1"/>
  <c r="V116" i="5"/>
  <c r="E116" i="5"/>
  <c r="X116" i="5" s="1"/>
  <c r="V117" i="5"/>
  <c r="E117" i="5"/>
  <c r="X117" i="5" s="1"/>
  <c r="V118" i="5"/>
  <c r="E118" i="5"/>
  <c r="X118" i="5" s="1"/>
  <c r="V119" i="5"/>
  <c r="E119" i="5"/>
  <c r="X119" i="5" s="1"/>
  <c r="V120" i="5"/>
  <c r="E120" i="5"/>
  <c r="X120" i="5" s="1"/>
  <c r="V121" i="5"/>
  <c r="E121" i="5"/>
  <c r="X121" i="5" s="1"/>
  <c r="V122" i="5"/>
  <c r="E122" i="5"/>
  <c r="X122" i="5" s="1"/>
  <c r="V123" i="5"/>
  <c r="E123" i="5"/>
  <c r="X123" i="5" s="1"/>
  <c r="V124" i="5"/>
  <c r="E124" i="5"/>
  <c r="X124" i="5" s="1"/>
  <c r="V125" i="5"/>
  <c r="E125" i="5"/>
  <c r="X125" i="5" s="1"/>
  <c r="V126" i="5"/>
  <c r="E126" i="5"/>
  <c r="X126" i="5" s="1"/>
  <c r="V127" i="5"/>
  <c r="E127" i="5"/>
  <c r="X127" i="5" s="1"/>
  <c r="V128" i="5"/>
  <c r="E128" i="5"/>
  <c r="V129" i="5"/>
  <c r="E129" i="5"/>
  <c r="X129" i="5" s="1"/>
  <c r="V130" i="5"/>
  <c r="E130" i="5"/>
  <c r="X130" i="5" s="1"/>
  <c r="V131" i="5"/>
  <c r="E131" i="5"/>
  <c r="X131" i="5" s="1"/>
  <c r="V132" i="5"/>
  <c r="E132" i="5"/>
  <c r="X132" i="5" s="1"/>
  <c r="V133" i="5"/>
  <c r="E133" i="5"/>
  <c r="X133" i="5" s="1"/>
  <c r="V134" i="5"/>
  <c r="E134" i="5"/>
  <c r="X134" i="5" s="1"/>
  <c r="V135" i="5"/>
  <c r="E135" i="5"/>
  <c r="X135" i="5" s="1"/>
  <c r="V136" i="5"/>
  <c r="E136" i="5"/>
  <c r="V137" i="5"/>
  <c r="E137" i="5"/>
  <c r="X137" i="5" s="1"/>
  <c r="V138" i="5"/>
  <c r="E138" i="5"/>
  <c r="X138" i="5" s="1"/>
  <c r="V139" i="5"/>
  <c r="E139" i="5"/>
  <c r="X139" i="5" s="1"/>
  <c r="V140" i="5"/>
  <c r="E140" i="5"/>
  <c r="V141" i="5"/>
  <c r="E141" i="5"/>
  <c r="X141" i="5" s="1"/>
  <c r="V142" i="5"/>
  <c r="E142" i="5"/>
  <c r="X142" i="5" s="1"/>
  <c r="V143" i="5"/>
  <c r="E143" i="5"/>
  <c r="X143" i="5" s="1"/>
  <c r="V144" i="5"/>
  <c r="E144" i="5"/>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V157" i="5"/>
  <c r="E157" i="5"/>
  <c r="X157" i="5" s="1"/>
  <c r="V158" i="5"/>
  <c r="E158" i="5"/>
  <c r="X158" i="5" s="1"/>
  <c r="V159" i="5"/>
  <c r="E159" i="5"/>
  <c r="X159" i="5" s="1"/>
  <c r="V160" i="5"/>
  <c r="E160" i="5"/>
  <c r="V161" i="5"/>
  <c r="E161" i="5"/>
  <c r="X161" i="5" s="1"/>
  <c r="V162" i="5"/>
  <c r="E162" i="5"/>
  <c r="X162" i="5" s="1"/>
  <c r="V163" i="5"/>
  <c r="E163" i="5"/>
  <c r="X163" i="5" s="1"/>
  <c r="V164" i="5"/>
  <c r="E164" i="5"/>
  <c r="V165" i="5"/>
  <c r="E165" i="5"/>
  <c r="X165" i="5" s="1"/>
  <c r="V166" i="5"/>
  <c r="E166" i="5"/>
  <c r="X166" i="5" s="1"/>
  <c r="V167" i="5"/>
  <c r="E167" i="5"/>
  <c r="X167" i="5" s="1"/>
  <c r="V168" i="5"/>
  <c r="E168" i="5"/>
  <c r="X168" i="5" s="1"/>
  <c r="V169" i="5"/>
  <c r="E169" i="5"/>
  <c r="X169" i="5" s="1"/>
  <c r="V170" i="5"/>
  <c r="E170" i="5"/>
  <c r="X170" i="5" s="1"/>
  <c r="V171" i="5"/>
  <c r="E171" i="5"/>
  <c r="X171" i="5" s="1"/>
  <c r="V172" i="5"/>
  <c r="E172" i="5"/>
  <c r="V173" i="5"/>
  <c r="E173" i="5"/>
  <c r="X173" i="5" s="1"/>
  <c r="V174" i="5"/>
  <c r="E174" i="5"/>
  <c r="X174" i="5" s="1"/>
  <c r="V175" i="5"/>
  <c r="E175" i="5"/>
  <c r="X175" i="5" s="1"/>
  <c r="V176" i="5"/>
  <c r="E176" i="5"/>
  <c r="V177" i="5"/>
  <c r="E177" i="5"/>
  <c r="X177" i="5" s="1"/>
  <c r="V178" i="5"/>
  <c r="E178" i="5"/>
  <c r="X178" i="5" s="1"/>
  <c r="V179" i="5"/>
  <c r="E179" i="5"/>
  <c r="X179" i="5" s="1"/>
  <c r="V180" i="5"/>
  <c r="E180" i="5"/>
  <c r="V181" i="5"/>
  <c r="E181" i="5"/>
  <c r="X181" i="5" s="1"/>
  <c r="V182" i="5"/>
  <c r="E182" i="5"/>
  <c r="X182" i="5" s="1"/>
  <c r="V183" i="5"/>
  <c r="E183" i="5"/>
  <c r="X183" i="5" s="1"/>
  <c r="V184" i="5"/>
  <c r="E184" i="5"/>
  <c r="V185" i="5"/>
  <c r="E185" i="5"/>
  <c r="X185" i="5" s="1"/>
  <c r="V186" i="5"/>
  <c r="E186" i="5"/>
  <c r="X186" i="5" s="1"/>
  <c r="V187" i="5"/>
  <c r="E187" i="5"/>
  <c r="X187" i="5" s="1"/>
  <c r="V188" i="5"/>
  <c r="E188" i="5"/>
  <c r="V189" i="5"/>
  <c r="E189" i="5"/>
  <c r="X189" i="5" s="1"/>
  <c r="V190" i="5"/>
  <c r="E190" i="5"/>
  <c r="X190" i="5" s="1"/>
  <c r="V191" i="5"/>
  <c r="E191" i="5"/>
  <c r="X191" i="5" s="1"/>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V201" i="5"/>
  <c r="E201" i="5"/>
  <c r="X201" i="5" s="1"/>
  <c r="V202" i="5"/>
  <c r="E202" i="5"/>
  <c r="X202" i="5" s="1"/>
  <c r="V203" i="5"/>
  <c r="E203" i="5"/>
  <c r="X203" i="5" s="1"/>
  <c r="V204" i="5"/>
  <c r="E204" i="5"/>
  <c r="V205" i="5"/>
  <c r="E205" i="5"/>
  <c r="X205" i="5" s="1"/>
  <c r="V206" i="5"/>
  <c r="E206" i="5"/>
  <c r="X206" i="5" s="1"/>
  <c r="V207" i="5"/>
  <c r="E207" i="5"/>
  <c r="X207" i="5" s="1"/>
  <c r="V208" i="5"/>
  <c r="E208" i="5"/>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V233" i="5"/>
  <c r="E233" i="5"/>
  <c r="X233" i="5" s="1"/>
  <c r="V234" i="5"/>
  <c r="E234" i="5"/>
  <c r="X234" i="5" s="1"/>
  <c r="V235" i="5"/>
  <c r="E235" i="5"/>
  <c r="X235" i="5" s="1"/>
  <c r="V236" i="5"/>
  <c r="E236" i="5"/>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V249" i="5"/>
  <c r="E249" i="5"/>
  <c r="X249" i="5" s="1"/>
  <c r="V250" i="5"/>
  <c r="E250" i="5"/>
  <c r="X250" i="5" s="1"/>
  <c r="V251" i="5"/>
  <c r="E251" i="5"/>
  <c r="X251" i="5" s="1"/>
  <c r="V252" i="5"/>
  <c r="E252" i="5"/>
  <c r="V253" i="5"/>
  <c r="E253" i="5"/>
  <c r="X253" i="5" s="1"/>
  <c r="V254" i="5"/>
  <c r="E254" i="5"/>
  <c r="X254" i="5" s="1"/>
  <c r="V255" i="5"/>
  <c r="E255" i="5"/>
  <c r="X255" i="5" s="1"/>
  <c r="V256" i="5"/>
  <c r="E256" i="5"/>
  <c r="V257" i="5"/>
  <c r="E257" i="5"/>
  <c r="X257" i="5" s="1"/>
  <c r="V258" i="5"/>
  <c r="E258" i="5"/>
  <c r="X258" i="5" s="1"/>
  <c r="V259" i="5"/>
  <c r="E259" i="5"/>
  <c r="X259" i="5" s="1"/>
  <c r="V260" i="5"/>
  <c r="E260" i="5"/>
  <c r="V261" i="5"/>
  <c r="E261" i="5"/>
  <c r="X261" i="5" s="1"/>
  <c r="V262" i="5"/>
  <c r="E262" i="5"/>
  <c r="X262" i="5" s="1"/>
  <c r="V263" i="5"/>
  <c r="E263" i="5"/>
  <c r="X263" i="5" s="1"/>
  <c r="V264" i="5"/>
  <c r="E264" i="5"/>
  <c r="V265" i="5"/>
  <c r="E265" i="5"/>
  <c r="X265" i="5" s="1"/>
  <c r="V266" i="5"/>
  <c r="E266" i="5"/>
  <c r="X266" i="5" s="1"/>
  <c r="V267" i="5"/>
  <c r="E267" i="5"/>
  <c r="X267" i="5" s="1"/>
  <c r="V268" i="5"/>
  <c r="E268" i="5"/>
  <c r="V269" i="5"/>
  <c r="E269" i="5"/>
  <c r="X269" i="5" s="1"/>
  <c r="V270" i="5"/>
  <c r="E270" i="5"/>
  <c r="X270" i="5" s="1"/>
  <c r="V271" i="5"/>
  <c r="E271" i="5"/>
  <c r="X271" i="5" s="1"/>
  <c r="V272" i="5"/>
  <c r="E272" i="5"/>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V297" i="5"/>
  <c r="E297" i="5"/>
  <c r="X297" i="5" s="1"/>
  <c r="V298" i="5"/>
  <c r="E298" i="5"/>
  <c r="X298" i="5" s="1"/>
  <c r="V299" i="5"/>
  <c r="E299" i="5"/>
  <c r="X299" i="5" s="1"/>
  <c r="V300" i="5"/>
  <c r="E300" i="5"/>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V317" i="5"/>
  <c r="E317" i="5"/>
  <c r="X317" i="5" s="1"/>
  <c r="V318" i="5"/>
  <c r="E318" i="5"/>
  <c r="X318" i="5" s="1"/>
  <c r="V319" i="5"/>
  <c r="E319" i="5"/>
  <c r="X319" i="5" s="1"/>
  <c r="V320" i="5"/>
  <c r="E320" i="5"/>
  <c r="V321" i="5"/>
  <c r="E321" i="5"/>
  <c r="X321" i="5" s="1"/>
  <c r="V322" i="5"/>
  <c r="E322" i="5"/>
  <c r="X322" i="5" s="1"/>
  <c r="V323" i="5"/>
  <c r="E323" i="5"/>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V577" i="5"/>
  <c r="E577" i="5"/>
  <c r="X577" i="5" s="1"/>
  <c r="V578" i="5"/>
  <c r="E578" i="5"/>
  <c r="X578" i="5" s="1"/>
  <c r="V579" i="5"/>
  <c r="E579" i="5"/>
  <c r="X579" i="5" s="1"/>
  <c r="V580" i="5"/>
  <c r="E580" i="5"/>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V597" i="5"/>
  <c r="E597" i="5"/>
  <c r="X597" i="5" s="1"/>
  <c r="V598" i="5"/>
  <c r="E598" i="5"/>
  <c r="X598" i="5" s="1"/>
  <c r="V599" i="5"/>
  <c r="E599" i="5"/>
  <c r="X599" i="5" s="1"/>
  <c r="V600" i="5"/>
  <c r="E600" i="5"/>
  <c r="V601" i="5"/>
  <c r="E601" i="5"/>
  <c r="X601" i="5" s="1"/>
  <c r="V602" i="5"/>
  <c r="E602" i="5"/>
  <c r="X602" i="5" s="1"/>
  <c r="V603" i="5"/>
  <c r="E603" i="5"/>
  <c r="X603" i="5" s="1"/>
  <c r="V604" i="5"/>
  <c r="E604" i="5"/>
  <c r="X604" i="5" s="1"/>
  <c r="V605" i="5"/>
  <c r="E605" i="5"/>
  <c r="X605" i="5" s="1"/>
  <c r="V606" i="5"/>
  <c r="E606" i="5"/>
  <c r="X606" i="5" s="1"/>
  <c r="V607" i="5"/>
  <c r="E607" i="5"/>
  <c r="X607" i="5" s="1"/>
  <c r="V608" i="5"/>
  <c r="E608" i="5"/>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V969" i="5"/>
  <c r="E969" i="5"/>
  <c r="X969" i="5" s="1"/>
  <c r="V970" i="5"/>
  <c r="E970" i="5"/>
  <c r="X970" i="5" s="1"/>
  <c r="V971" i="5"/>
  <c r="E971" i="5"/>
  <c r="X971" i="5" s="1"/>
  <c r="V972" i="5"/>
  <c r="E972" i="5"/>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V989" i="5"/>
  <c r="E989" i="5"/>
  <c r="X989" i="5" s="1"/>
  <c r="V990" i="5"/>
  <c r="E990" i="5"/>
  <c r="X990" i="5" s="1"/>
  <c r="V991" i="5"/>
  <c r="E991" i="5"/>
  <c r="X991" i="5" s="1"/>
  <c r="V992" i="5"/>
  <c r="E992" i="5"/>
  <c r="V993" i="5"/>
  <c r="E993" i="5"/>
  <c r="X993" i="5" s="1"/>
  <c r="V994" i="5"/>
  <c r="E994" i="5"/>
  <c r="X994" i="5" s="1"/>
  <c r="V995" i="5"/>
  <c r="E995" i="5"/>
  <c r="X995" i="5" s="1"/>
  <c r="V996" i="5"/>
  <c r="E996" i="5"/>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V1009" i="5"/>
  <c r="E1009" i="5"/>
  <c r="X1009" i="5" s="1"/>
  <c r="V1010" i="5"/>
  <c r="E1010" i="5"/>
  <c r="X1010" i="5" s="1"/>
  <c r="V1011" i="5"/>
  <c r="E1011" i="5"/>
  <c r="X1011" i="5" s="1"/>
  <c r="V1012" i="5"/>
  <c r="E1012" i="5"/>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V1101" i="5"/>
  <c r="E1101" i="5"/>
  <c r="X1101" i="5" s="1"/>
  <c r="V1102" i="5"/>
  <c r="E1102" i="5"/>
  <c r="X1102" i="5" s="1"/>
  <c r="V1103" i="5"/>
  <c r="E1103" i="5"/>
  <c r="X1103" i="5" s="1"/>
  <c r="V1104" i="5"/>
  <c r="E1104" i="5"/>
  <c r="V1105" i="5"/>
  <c r="E1105" i="5"/>
  <c r="X1105" i="5" s="1"/>
  <c r="V1106" i="5"/>
  <c r="E1106" i="5"/>
  <c r="X1106" i="5" s="1"/>
  <c r="V1107" i="5"/>
  <c r="E1107" i="5"/>
  <c r="X1107" i="5" s="1"/>
  <c r="V1108" i="5"/>
  <c r="E1108" i="5"/>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V1401" i="5"/>
  <c r="E1401" i="5"/>
  <c r="X1401" i="5" s="1"/>
  <c r="V1402" i="5"/>
  <c r="E1402" i="5"/>
  <c r="X1402" i="5" s="1"/>
  <c r="V1403" i="5"/>
  <c r="E1403" i="5"/>
  <c r="X1403" i="5" s="1"/>
  <c r="V1404" i="5"/>
  <c r="E1404" i="5"/>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V1857" i="5"/>
  <c r="E1857" i="5"/>
  <c r="X1857" i="5" s="1"/>
  <c r="V1858" i="5"/>
  <c r="E1858" i="5"/>
  <c r="X1858" i="5" s="1"/>
  <c r="V1859" i="5"/>
  <c r="E1859" i="5"/>
  <c r="X1859" i="5" s="1"/>
  <c r="V1860" i="5"/>
  <c r="E1860" i="5"/>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s="1"/>
  <c r="B54" i="6"/>
  <c r="G54" i="6" s="1"/>
  <c r="B17" i="6"/>
  <c r="G17" i="6" s="1"/>
  <c r="H17" i="6" s="1"/>
  <c r="B16" i="6"/>
  <c r="B15" i="6"/>
  <c r="B14" i="6"/>
  <c r="G14" i="6" s="1"/>
  <c r="H14" i="6" s="1"/>
  <c r="H13" i="6"/>
  <c r="B12" i="6"/>
  <c r="G12" i="6"/>
  <c r="H12" i="6" s="1"/>
  <c r="D12" i="6" s="1"/>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B90" i="4"/>
  <c r="H67" i="4"/>
  <c r="P47" i="4"/>
  <c r="P46" i="4"/>
  <c r="B46" i="4" s="1"/>
  <c r="A31" i="6" s="1"/>
  <c r="P45" i="4"/>
  <c r="P44" i="4"/>
  <c r="P43" i="4"/>
  <c r="Q43" i="4" s="1"/>
  <c r="P41" i="4"/>
  <c r="P40" i="4"/>
  <c r="P39" i="4"/>
  <c r="P38" i="4"/>
  <c r="P37" i="4"/>
  <c r="Q37" i="4" s="1"/>
  <c r="P35" i="4"/>
  <c r="P34" i="4"/>
  <c r="P33" i="4"/>
  <c r="P32" i="4"/>
  <c r="P31" i="4"/>
  <c r="Q31" i="4" s="1"/>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27"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21" i="5"/>
  <c r="R23" i="5"/>
  <c r="H24" i="5"/>
  <c r="R26" i="5"/>
  <c r="F27" i="5"/>
  <c r="I29" i="5"/>
  <c r="R31" i="5"/>
  <c r="H3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F2442" i="5"/>
  <c r="J2442" i="5"/>
  <c r="I2442" i="5"/>
  <c r="H2442" i="5"/>
  <c r="AB2460" i="5"/>
  <c r="F2497" i="5"/>
  <c r="R2497" i="5"/>
  <c r="J2497" i="5"/>
  <c r="I2497" i="5"/>
  <c r="H2497" i="5"/>
  <c r="S2501" i="5"/>
  <c r="F64" i="6"/>
  <c r="G5" i="6"/>
  <c r="H5" i="6"/>
  <c r="H6"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AB2443" i="5"/>
  <c r="S2443" i="5"/>
  <c r="S2450" i="5"/>
  <c r="S2452" i="5"/>
  <c r="J2461" i="5"/>
  <c r="J2469" i="5"/>
  <c r="S2495" i="5"/>
  <c r="S2499" i="5"/>
  <c r="S2503" i="5"/>
  <c r="D9" i="6"/>
  <c r="G15" i="6"/>
  <c r="H15" i="6"/>
  <c r="B20" i="6"/>
  <c r="B25" i="6" s="1"/>
  <c r="G2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D4" i="6"/>
  <c r="F2481" i="5"/>
  <c r="R2492" i="5"/>
  <c r="J2492" i="5"/>
  <c r="S2504" i="5"/>
  <c r="S2477" i="5"/>
  <c r="AB2482" i="5"/>
  <c r="G16" i="6"/>
  <c r="H16" i="6" s="1"/>
  <c r="B19" i="6"/>
  <c r="A38" i="2"/>
  <c r="J4" i="5"/>
  <c r="B41" i="4"/>
  <c r="B71" i="4" s="1"/>
  <c r="A52" i="6" s="1"/>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1" i="4" s="1"/>
  <c r="A17" i="2"/>
  <c r="A34" i="2"/>
  <c r="A52" i="2"/>
  <c r="A70" i="2"/>
  <c r="C7" i="3"/>
  <c r="C15" i="3"/>
  <c r="C23" i="3"/>
  <c r="C31" i="3"/>
  <c r="B15" i="4"/>
  <c r="A7" i="6" s="1"/>
  <c r="B28" i="4"/>
  <c r="B34" i="4" s="1"/>
  <c r="A21" i="6" s="1"/>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C4" i="6" s="1"/>
  <c r="I5" i="6"/>
  <c r="C5" i="6" s="1"/>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C6" i="6" s="1"/>
  <c r="I7" i="6"/>
  <c r="C7" i="6" s="1"/>
  <c r="I8" i="6"/>
  <c r="C8" i="6" s="1"/>
  <c r="I9" i="6"/>
  <c r="C9" i="6" s="1"/>
  <c r="I10" i="6"/>
  <c r="C10" i="6" s="1"/>
  <c r="I11" i="6"/>
  <c r="C11" i="6" s="1"/>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55" i="4" s="1"/>
  <c r="B44" i="4"/>
  <c r="A29" i="6" s="1"/>
  <c r="A4" i="5"/>
  <c r="I4" i="5"/>
  <c r="I14" i="6"/>
  <c r="I15" i="6"/>
  <c r="C15" i="6" s="1"/>
  <c r="I16" i="6"/>
  <c r="C16" i="6" s="1"/>
  <c r="I17" i="6"/>
  <c r="J24" i="6"/>
  <c r="I25" i="6"/>
  <c r="J36" i="6"/>
  <c r="I37" i="6"/>
  <c r="J44" i="6"/>
  <c r="I45" i="6"/>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S598" i="5"/>
  <c r="X323" i="5"/>
  <c r="S532" i="5"/>
  <c r="S356" i="5"/>
  <c r="S343" i="5"/>
  <c r="S315" i="5"/>
  <c r="X48" i="5"/>
  <c r="S357" i="5"/>
  <c r="S383" i="5"/>
  <c r="X44" i="5"/>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B30" i="6"/>
  <c r="G30" i="6" s="1"/>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X1940" i="5"/>
  <c r="I1786" i="5"/>
  <c r="J1471" i="5"/>
  <c r="I1131" i="5"/>
  <c r="I1115" i="5"/>
  <c r="I1304" i="5"/>
  <c r="R1145" i="5"/>
  <c r="H634" i="5"/>
  <c r="R423" i="5"/>
  <c r="I2289" i="5"/>
  <c r="J1435" i="5"/>
  <c r="I1435" i="5"/>
  <c r="H1435" i="5"/>
  <c r="R2405" i="5"/>
  <c r="H2386" i="5"/>
  <c r="J2180" i="5"/>
  <c r="X210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X1952"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X672" i="5"/>
  <c r="R672" i="5"/>
  <c r="H175" i="5"/>
  <c r="R175" i="5"/>
  <c r="J175" i="5"/>
  <c r="H808" i="5"/>
  <c r="J808" i="5"/>
  <c r="X644"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X712"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B40" i="6"/>
  <c r="G40" i="6"/>
  <c r="B50" i="6"/>
  <c r="G50" i="6" s="1"/>
  <c r="B35" i="6"/>
  <c r="G35" i="6" s="1"/>
  <c r="B39" i="6"/>
  <c r="G39" i="6" s="1"/>
  <c r="H39" i="6" s="1"/>
  <c r="F24" i="6"/>
  <c r="B44" i="6"/>
  <c r="G44" i="6"/>
  <c r="B49" i="6"/>
  <c r="G49" i="6"/>
  <c r="H49" i="6" s="1"/>
  <c r="B34" i="6"/>
  <c r="G34" i="6" s="1"/>
  <c r="H34" i="6" s="1"/>
  <c r="B29" i="6"/>
  <c r="G29" i="6"/>
  <c r="B24" i="6"/>
  <c r="G24" i="6"/>
  <c r="G19" i="6"/>
  <c r="H19" i="6"/>
  <c r="D19" i="6" s="1"/>
  <c r="F2426" i="5"/>
  <c r="R2426" i="5"/>
  <c r="J2426" i="5"/>
  <c r="I2426" i="5"/>
  <c r="H2426" i="5"/>
  <c r="D5" i="6"/>
  <c r="F2446" i="5"/>
  <c r="H2446" i="5"/>
  <c r="J2446" i="5"/>
  <c r="I2446" i="5"/>
  <c r="R2446" i="5"/>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X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X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X992" i="5"/>
  <c r="R992" i="5"/>
  <c r="J992" i="5"/>
  <c r="I992" i="5"/>
  <c r="F1238" i="5"/>
  <c r="R1238" i="5"/>
  <c r="J1238" i="5"/>
  <c r="H1238" i="5"/>
  <c r="I1238" i="5"/>
  <c r="H988" i="5"/>
  <c r="F988" i="5"/>
  <c r="X988" i="5"/>
  <c r="R988" i="5"/>
  <c r="J988" i="5"/>
  <c r="I988" i="5"/>
  <c r="H1116" i="5"/>
  <c r="F1116" i="5"/>
  <c r="R1116" i="5"/>
  <c r="J1116" i="5"/>
  <c r="I1116" i="5"/>
  <c r="H1052" i="5"/>
  <c r="F1052" i="5"/>
  <c r="R1052" i="5"/>
  <c r="J1052" i="5"/>
  <c r="I1052" i="5"/>
  <c r="X93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G20" i="6"/>
  <c r="H20" i="6" s="1"/>
  <c r="D17" i="6"/>
  <c r="H2439" i="5"/>
  <c r="F2439" i="5"/>
  <c r="R2439" i="5"/>
  <c r="J2439" i="5"/>
  <c r="I2439" i="5"/>
  <c r="F2414" i="5"/>
  <c r="R2414" i="5"/>
  <c r="J2414" i="5"/>
  <c r="I2414" i="5"/>
  <c r="H2414" i="5"/>
  <c r="J2448" i="5"/>
  <c r="F2448" i="5"/>
  <c r="I2448" i="5"/>
  <c r="H2448" i="5"/>
  <c r="R2448" i="5"/>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X1560" i="5"/>
  <c r="H1207" i="5"/>
  <c r="R1207" i="5"/>
  <c r="J1207" i="5"/>
  <c r="I1207" i="5"/>
  <c r="F1207" i="5"/>
  <c r="H1108" i="5"/>
  <c r="F1108" i="5"/>
  <c r="X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X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X1888"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X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X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X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X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X1084" i="5"/>
  <c r="R1084" i="5"/>
  <c r="J1084" i="5"/>
  <c r="I1084" i="5"/>
  <c r="F1266" i="5"/>
  <c r="R1266" i="5"/>
  <c r="J1266" i="5"/>
  <c r="I1266" i="5"/>
  <c r="H1266" i="5"/>
  <c r="F968" i="5"/>
  <c r="X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X916"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X1348" i="5"/>
  <c r="I1348" i="5"/>
  <c r="H1348" i="5"/>
  <c r="J1348" i="5"/>
  <c r="F1370" i="5"/>
  <c r="R1370" i="5"/>
  <c r="I1370" i="5"/>
  <c r="H1370" i="5"/>
  <c r="J1370" i="5"/>
  <c r="J1473" i="5"/>
  <c r="H1473" i="5"/>
  <c r="F1473" i="5"/>
  <c r="I1473" i="5"/>
  <c r="R1473" i="5"/>
  <c r="H1400" i="5"/>
  <c r="X1400" i="5"/>
  <c r="F1400" i="5"/>
  <c r="R1400" i="5"/>
  <c r="J1400" i="5"/>
  <c r="I1400" i="5"/>
  <c r="I1327" i="5"/>
  <c r="H1327" i="5"/>
  <c r="R1327" i="5"/>
  <c r="J1327" i="5"/>
  <c r="F1327" i="5"/>
  <c r="H1072" i="5"/>
  <c r="F1072" i="5"/>
  <c r="R1072" i="5"/>
  <c r="I1072" i="5"/>
  <c r="J1072" i="5"/>
  <c r="H1008" i="5"/>
  <c r="F1008" i="5"/>
  <c r="X1008" i="5"/>
  <c r="R1008" i="5"/>
  <c r="J1008" i="5"/>
  <c r="I1008" i="5"/>
  <c r="H1100" i="5"/>
  <c r="F1100" i="5"/>
  <c r="X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X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X2336" i="5"/>
  <c r="R2336" i="5"/>
  <c r="F2336" i="5"/>
  <c r="I2296" i="5"/>
  <c r="H2296" i="5"/>
  <c r="R2296" i="5"/>
  <c r="J2296" i="5"/>
  <c r="F2296" i="5"/>
  <c r="X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X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X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X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X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D16" i="6"/>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X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X1516" i="5"/>
  <c r="J1516" i="5"/>
  <c r="R1516" i="5"/>
  <c r="F1390" i="5"/>
  <c r="R1390" i="5"/>
  <c r="J1390" i="5"/>
  <c r="I1390" i="5"/>
  <c r="H1390" i="5"/>
  <c r="H1404" i="5"/>
  <c r="X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X2175" i="5"/>
  <c r="I1946" i="5"/>
  <c r="H1946" i="5"/>
  <c r="F1946" i="5"/>
  <c r="R1946" i="5"/>
  <c r="J1946" i="5"/>
  <c r="F1860" i="5"/>
  <c r="X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X1340" i="5"/>
  <c r="H1340" i="5"/>
  <c r="J1340" i="5"/>
  <c r="I1340" i="5"/>
  <c r="I1500" i="5"/>
  <c r="H1500" i="5"/>
  <c r="F1500" i="5"/>
  <c r="X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X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X1104" i="5"/>
  <c r="R1104" i="5"/>
  <c r="I1104" i="5"/>
  <c r="J1104" i="5"/>
  <c r="H1040" i="5"/>
  <c r="F1040" i="5"/>
  <c r="X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X1188" i="5"/>
  <c r="R1188" i="5"/>
  <c r="I1144" i="5"/>
  <c r="R1144" i="5"/>
  <c r="J1144" i="5"/>
  <c r="H1144" i="5"/>
  <c r="F1144" i="5"/>
  <c r="X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c r="D44" i="6" s="1"/>
  <c r="F34" i="6"/>
  <c r="F39" i="6"/>
  <c r="F65" i="6"/>
  <c r="F49" i="6"/>
  <c r="F29" i="6"/>
  <c r="H29" i="6"/>
  <c r="F2430" i="5"/>
  <c r="R2430" i="5"/>
  <c r="J2430" i="5"/>
  <c r="I2430" i="5"/>
  <c r="H2430" i="5"/>
  <c r="D6" i="6"/>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X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X1472" i="5"/>
  <c r="I1472" i="5"/>
  <c r="R1472" i="5"/>
  <c r="J1472" i="5"/>
  <c r="H1444" i="5"/>
  <c r="F1444" i="5"/>
  <c r="X1444" i="5"/>
  <c r="J1444" i="5"/>
  <c r="I1444" i="5"/>
  <c r="R1444" i="5"/>
  <c r="F1415" i="5"/>
  <c r="R1415" i="5"/>
  <c r="J1415" i="5"/>
  <c r="I1415" i="5"/>
  <c r="H1415" i="5"/>
  <c r="I1359" i="5"/>
  <c r="H1359" i="5"/>
  <c r="R1359" i="5"/>
  <c r="F1359" i="5"/>
  <c r="J1359" i="5"/>
  <c r="H1420" i="5"/>
  <c r="X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X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597" i="5"/>
  <c r="S599" i="5"/>
  <c r="X140" i="5"/>
  <c r="S611" i="5"/>
  <c r="X220" i="5"/>
  <c r="S601" i="5"/>
  <c r="X340" i="5"/>
  <c r="X180" i="5"/>
  <c r="X232" i="5"/>
  <c r="X264" i="5"/>
  <c r="X296" i="5"/>
  <c r="X176" i="5"/>
  <c r="X596" i="5"/>
  <c r="X496" i="5"/>
  <c r="X320" i="5"/>
  <c r="X188" i="5"/>
  <c r="X204" i="5"/>
  <c r="X600" i="5"/>
  <c r="S600" i="5"/>
  <c r="X108" i="5"/>
  <c r="X164" i="5"/>
  <c r="X200" i="5"/>
  <c r="X316" i="5"/>
  <c r="X144" i="5"/>
  <c r="X208" i="5"/>
  <c r="S382" i="5"/>
  <c r="X256" i="5"/>
  <c r="X236" i="5"/>
  <c r="X268" i="5"/>
  <c r="X300" i="5"/>
  <c r="X431" i="5"/>
  <c r="S533" i="5"/>
  <c r="S355" i="5"/>
  <c r="X391" i="5"/>
  <c r="S602" i="5"/>
  <c r="X156" i="5"/>
  <c r="S603" i="5"/>
  <c r="X248" i="5"/>
  <c r="X184" i="5"/>
  <c r="X260" i="5"/>
  <c r="S605" i="5"/>
  <c r="X128" i="5"/>
  <c r="X172" i="5"/>
  <c r="S607" i="5"/>
  <c r="X576" i="5"/>
  <c r="X43" i="5"/>
  <c r="X580" i="5"/>
  <c r="X556" i="5"/>
  <c r="S314" i="5"/>
  <c r="X136" i="5"/>
  <c r="X160" i="5"/>
  <c r="X272" i="5"/>
  <c r="X252" i="5"/>
  <c r="X284" i="5"/>
  <c r="X415" i="5"/>
  <c r="X608" i="5"/>
  <c r="H24" i="6"/>
  <c r="D24" i="6" s="1"/>
  <c r="D29" i="6"/>
  <c r="X100" i="5"/>
  <c r="C2" i="6"/>
  <c r="B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4" i="6" a="1"/>
  <c r="C7" i="5" l="1"/>
  <c r="B14" i="5"/>
  <c r="B10" i="5"/>
  <c r="B6" i="5"/>
  <c r="C15" i="5"/>
  <c r="B18" i="5"/>
  <c r="C14" i="5"/>
  <c r="C6" i="5"/>
  <c r="C5" i="5"/>
  <c r="F69" i="6" s="1"/>
  <c r="C69" i="6" s="1"/>
  <c r="C13" i="5"/>
  <c r="B17" i="5"/>
  <c r="B13" i="5"/>
  <c r="B9" i="5"/>
  <c r="B5" i="5"/>
  <c r="C19" i="5"/>
  <c r="C11" i="5"/>
  <c r="B16" i="5"/>
  <c r="B12" i="5"/>
  <c r="B8" i="5"/>
  <c r="C18" i="5"/>
  <c r="C10" i="5"/>
  <c r="C17" i="5"/>
  <c r="C9" i="5"/>
  <c r="B19" i="5"/>
  <c r="B15" i="5"/>
  <c r="V15" i="5" s="1"/>
  <c r="B11" i="5"/>
  <c r="B7" i="5"/>
  <c r="C16" i="5"/>
  <c r="G31" i="4"/>
  <c r="D67" i="4"/>
  <c r="D37" i="4"/>
  <c r="A16" i="6"/>
  <c r="A14" i="6"/>
  <c r="D49" i="4"/>
  <c r="D74" i="4"/>
  <c r="B65" i="4"/>
  <c r="A47" i="6" s="1"/>
  <c r="B53" i="4"/>
  <c r="A37" i="6" s="1"/>
  <c r="D55" i="4"/>
  <c r="D31" i="4"/>
  <c r="A15" i="6"/>
  <c r="B35" i="4"/>
  <c r="A22" i="6" s="1"/>
  <c r="B50" i="4"/>
  <c r="A34" i="6" s="1"/>
  <c r="H25" i="6"/>
  <c r="D25" i="6" s="1"/>
  <c r="F25" i="6"/>
  <c r="B62" i="4"/>
  <c r="A44" i="6" s="1"/>
  <c r="B45" i="6"/>
  <c r="G45" i="6" s="1"/>
  <c r="B51" i="4"/>
  <c r="A35" i="6" s="1"/>
  <c r="B57" i="4"/>
  <c r="A40" i="6" s="1"/>
  <c r="C17" i="6"/>
  <c r="B22" i="6"/>
  <c r="B21" i="6"/>
  <c r="B51" i="6" s="1"/>
  <c r="G51" i="6" s="1"/>
  <c r="F21" i="6"/>
  <c r="K66" i="6"/>
  <c r="D20" i="6"/>
  <c r="B83" i="4"/>
  <c r="A59" i="6" s="1"/>
  <c r="B79" i="4"/>
  <c r="A57" i="6" s="1"/>
  <c r="B31" i="4"/>
  <c r="A18" i="6" s="1"/>
  <c r="B87" i="4"/>
  <c r="A62" i="6" s="1"/>
  <c r="B43" i="4"/>
  <c r="A28" i="6" s="1"/>
  <c r="B77" i="4"/>
  <c r="A55" i="6" s="1"/>
  <c r="B55" i="4"/>
  <c r="A38" i="6" s="1"/>
  <c r="B61" i="4"/>
  <c r="A43" i="6" s="1"/>
  <c r="B49" i="4"/>
  <c r="A33" i="6" s="1"/>
  <c r="B81" i="4"/>
  <c r="A58" i="6" s="1"/>
  <c r="B75" i="4"/>
  <c r="A54" i="6" s="1"/>
  <c r="B89" i="4"/>
  <c r="A63" i="6" s="1"/>
  <c r="B37" i="4"/>
  <c r="A23" i="6" s="1"/>
  <c r="B67" i="4"/>
  <c r="A48" i="6" s="1"/>
  <c r="B85" i="4"/>
  <c r="A60" i="6" s="1"/>
  <c r="B70" i="4"/>
  <c r="A51" i="6" s="1"/>
  <c r="C20" i="6"/>
  <c r="G49" i="4"/>
  <c r="C25" i="6"/>
  <c r="D43" i="4"/>
  <c r="B52" i="4"/>
  <c r="A36" i="6" s="1"/>
  <c r="C39" i="6"/>
  <c r="D39" i="6"/>
  <c r="D14" i="6"/>
  <c r="C14" i="6"/>
  <c r="K65" i="6"/>
  <c r="D34" i="6"/>
  <c r="C34" i="6"/>
  <c r="C49" i="6"/>
  <c r="D49" i="6"/>
  <c r="G61" i="4"/>
  <c r="A27" i="6"/>
  <c r="B59" i="4"/>
  <c r="A42" i="6" s="1"/>
  <c r="B63" i="4"/>
  <c r="A45" i="6" s="1"/>
  <c r="C24" i="6"/>
  <c r="C29" i="6"/>
  <c r="C19" i="6"/>
  <c r="B69" i="4"/>
  <c r="A50" i="6" s="1"/>
  <c r="C44" i="6"/>
  <c r="G67" i="4"/>
  <c r="A26" i="6"/>
  <c r="C12" i="6"/>
  <c r="B64" i="4"/>
  <c r="A46" i="6" s="1"/>
  <c r="G64" i="6"/>
  <c r="B56" i="4"/>
  <c r="A39" i="6" s="1"/>
  <c r="B68" i="4"/>
  <c r="A49" i="6" s="1"/>
  <c r="G43" i="4"/>
  <c r="G37" i="4"/>
  <c r="G74" i="4"/>
  <c r="I15" i="5" l="1"/>
  <c r="F15" i="5"/>
  <c r="G15" i="5"/>
  <c r="E15" i="5"/>
  <c r="X15" i="5" s="1"/>
  <c r="H15" i="5"/>
  <c r="J15" i="5"/>
  <c r="R15" i="5"/>
  <c r="V9" i="5"/>
  <c r="V17" i="5"/>
  <c r="G17" i="5" s="1"/>
  <c r="AB5" i="5"/>
  <c r="G66" i="6"/>
  <c r="G67" i="6"/>
  <c r="G65" i="6"/>
  <c r="H65" i="6" s="1"/>
  <c r="G68" i="6"/>
  <c r="V16" i="5"/>
  <c r="V10" i="5"/>
  <c r="AB10" i="5"/>
  <c r="AB9" i="5"/>
  <c r="V18" i="5"/>
  <c r="G18" i="5" s="1"/>
  <c r="AB18" i="5"/>
  <c r="AB13" i="5"/>
  <c r="AB7" i="5"/>
  <c r="AB8" i="5"/>
  <c r="AB17" i="5"/>
  <c r="V8" i="5"/>
  <c r="AB11" i="5"/>
  <c r="AB12" i="5"/>
  <c r="V12" i="5"/>
  <c r="V13" i="5"/>
  <c r="G13" i="5" s="1"/>
  <c r="AB15" i="5"/>
  <c r="AB16" i="5"/>
  <c r="V5" i="5"/>
  <c r="G5" i="5" s="1"/>
  <c r="AB19" i="5"/>
  <c r="V11" i="5"/>
  <c r="G11" i="5"/>
  <c r="G6" i="5"/>
  <c r="AB6" i="5"/>
  <c r="V6" i="5"/>
  <c r="V19" i="5"/>
  <c r="V14" i="5"/>
  <c r="AB14" i="5"/>
  <c r="V7" i="5"/>
  <c r="F40" i="6"/>
  <c r="H40" i="6" s="1"/>
  <c r="F45" i="6"/>
  <c r="H45" i="6" s="1"/>
  <c r="F66" i="6"/>
  <c r="F50" i="6"/>
  <c r="H50" i="6" s="1"/>
  <c r="F30" i="6"/>
  <c r="H30" i="6" s="1"/>
  <c r="F35" i="6"/>
  <c r="H35" i="6" s="1"/>
  <c r="B32" i="6"/>
  <c r="G32" i="6" s="1"/>
  <c r="B47" i="6"/>
  <c r="G47" i="6" s="1"/>
  <c r="B52" i="6"/>
  <c r="G52" i="6" s="1"/>
  <c r="F27" i="6"/>
  <c r="B37" i="6"/>
  <c r="G37" i="6" s="1"/>
  <c r="B27" i="6"/>
  <c r="G27" i="6" s="1"/>
  <c r="B42" i="6"/>
  <c r="G42" i="6" s="1"/>
  <c r="G22" i="6"/>
  <c r="H22" i="6" s="1"/>
  <c r="B46" i="6"/>
  <c r="G46" i="6" s="1"/>
  <c r="B41" i="6"/>
  <c r="G41" i="6" s="1"/>
  <c r="F26" i="6"/>
  <c r="B31" i="6"/>
  <c r="G31" i="6" s="1"/>
  <c r="B26" i="6"/>
  <c r="G26" i="6" s="1"/>
  <c r="G21" i="6"/>
  <c r="H21" i="6" s="1"/>
  <c r="B36" i="6"/>
  <c r="G36" i="6" s="1"/>
  <c r="B64" i="6"/>
  <c r="H64" i="6"/>
  <c r="S15" i="5"/>
  <c r="F9" i="5" l="1"/>
  <c r="E9" i="5"/>
  <c r="H9" i="5"/>
  <c r="R9" i="5"/>
  <c r="J9" i="5"/>
  <c r="I9" i="5"/>
  <c r="I14" i="5"/>
  <c r="J14" i="5"/>
  <c r="H14" i="5"/>
  <c r="F14" i="5"/>
  <c r="E14" i="5"/>
  <c r="R14" i="5"/>
  <c r="G14" i="5"/>
  <c r="I19" i="5"/>
  <c r="H19" i="5"/>
  <c r="F19" i="5"/>
  <c r="R19" i="5"/>
  <c r="J19" i="5"/>
  <c r="E19" i="5"/>
  <c r="E12" i="5"/>
  <c r="J12" i="5"/>
  <c r="H12" i="5"/>
  <c r="R12" i="5"/>
  <c r="F12" i="5"/>
  <c r="I12" i="5"/>
  <c r="G12" i="5"/>
  <c r="H11" i="5"/>
  <c r="R11" i="5"/>
  <c r="I11" i="5"/>
  <c r="J11" i="5"/>
  <c r="E11" i="5"/>
  <c r="F11" i="5"/>
  <c r="G19" i="5"/>
  <c r="F10" i="5"/>
  <c r="J10" i="5"/>
  <c r="H10" i="5"/>
  <c r="E10" i="5"/>
  <c r="R10" i="5"/>
  <c r="I10" i="5"/>
  <c r="R6" i="5"/>
  <c r="H6" i="5"/>
  <c r="F6" i="5"/>
  <c r="J6" i="5"/>
  <c r="I6" i="5"/>
  <c r="E6" i="5"/>
  <c r="E16" i="5"/>
  <c r="I16" i="5"/>
  <c r="H16" i="5"/>
  <c r="R16" i="5"/>
  <c r="J16" i="5"/>
  <c r="F16" i="5"/>
  <c r="G10" i="5"/>
  <c r="H66" i="6"/>
  <c r="D66" i="6" s="1"/>
  <c r="F5" i="5"/>
  <c r="I5" i="5"/>
  <c r="H5" i="5"/>
  <c r="J5" i="5"/>
  <c r="E5" i="5"/>
  <c r="R5" i="5"/>
  <c r="F13" i="5"/>
  <c r="E13" i="5"/>
  <c r="H13" i="5"/>
  <c r="I13" i="5"/>
  <c r="R13" i="5"/>
  <c r="J13" i="5"/>
  <c r="H18" i="5"/>
  <c r="R18" i="5"/>
  <c r="E18" i="5"/>
  <c r="F18" i="5"/>
  <c r="J18" i="5"/>
  <c r="I18" i="5"/>
  <c r="G7" i="5"/>
  <c r="F7" i="5"/>
  <c r="I7" i="5"/>
  <c r="H7" i="5"/>
  <c r="J7" i="5"/>
  <c r="E7" i="5"/>
  <c r="R7" i="5"/>
  <c r="E8" i="5"/>
  <c r="J8" i="5"/>
  <c r="I8" i="5"/>
  <c r="R8" i="5"/>
  <c r="H8" i="5"/>
  <c r="F8" i="5"/>
  <c r="G8" i="5"/>
  <c r="G16" i="5"/>
  <c r="J17" i="5"/>
  <c r="R17" i="5"/>
  <c r="F17" i="5"/>
  <c r="E17" i="5"/>
  <c r="H17" i="5"/>
  <c r="I17" i="5"/>
  <c r="D65" i="6"/>
  <c r="C65" i="6"/>
  <c r="G9" i="5"/>
  <c r="D45" i="6"/>
  <c r="C45" i="6"/>
  <c r="D40" i="6"/>
  <c r="C40" i="6"/>
  <c r="D35" i="6"/>
  <c r="C35" i="6"/>
  <c r="C30" i="6"/>
  <c r="D30" i="6"/>
  <c r="D50" i="6"/>
  <c r="C50" i="6"/>
  <c r="D22" i="6"/>
  <c r="K68" i="6"/>
  <c r="C22" i="6"/>
  <c r="F37" i="6"/>
  <c r="H37" i="6" s="1"/>
  <c r="F68" i="6"/>
  <c r="H68" i="6" s="1"/>
  <c r="F32" i="6"/>
  <c r="H32" i="6" s="1"/>
  <c r="F52" i="6"/>
  <c r="H52" i="6" s="1"/>
  <c r="F47" i="6"/>
  <c r="H47" i="6" s="1"/>
  <c r="F42" i="6"/>
  <c r="H42" i="6" s="1"/>
  <c r="H27" i="6"/>
  <c r="D21" i="6"/>
  <c r="K67" i="6"/>
  <c r="C21" i="6"/>
  <c r="F31" i="6"/>
  <c r="H31" i="6" s="1"/>
  <c r="F51" i="6"/>
  <c r="H51" i="6" s="1"/>
  <c r="F67" i="6"/>
  <c r="H67" i="6" s="1"/>
  <c r="F46" i="6"/>
  <c r="H46" i="6" s="1"/>
  <c r="F41" i="6"/>
  <c r="H41" i="6" s="1"/>
  <c r="H26" i="6"/>
  <c r="F36" i="6"/>
  <c r="H36" i="6" s="1"/>
  <c r="F54" i="6"/>
  <c r="C64" i="6"/>
  <c r="D64" i="6"/>
  <c r="T15" i="5"/>
  <c r="C66" i="6" l="1"/>
  <c r="X8" i="5"/>
  <c r="X11" i="5"/>
  <c r="X16" i="5"/>
  <c r="X7" i="5"/>
  <c r="X13" i="5"/>
  <c r="X6" i="5"/>
  <c r="X10" i="5"/>
  <c r="X18" i="5"/>
  <c r="X12" i="5"/>
  <c r="X19" i="5"/>
  <c r="X14" i="5"/>
  <c r="X17" i="5"/>
  <c r="X5" i="5"/>
  <c r="G69" i="6" a="1"/>
  <c r="G69" i="6" s="1"/>
  <c r="H69" i="6" s="1"/>
  <c r="X9" i="5"/>
  <c r="D32" i="6"/>
  <c r="C32" i="6"/>
  <c r="D68" i="6"/>
  <c r="C68" i="6"/>
  <c r="D37" i="6"/>
  <c r="C37" i="6"/>
  <c r="D47" i="6"/>
  <c r="C47" i="6"/>
  <c r="D52" i="6"/>
  <c r="C52" i="6"/>
  <c r="D27" i="6"/>
  <c r="C27" i="6"/>
  <c r="D42" i="6"/>
  <c r="C42" i="6"/>
  <c r="D31" i="6"/>
  <c r="C31" i="6"/>
  <c r="D36" i="6"/>
  <c r="C36" i="6"/>
  <c r="C41" i="6"/>
  <c r="D41" i="6"/>
  <c r="F63" i="6"/>
  <c r="H63" i="6" s="1"/>
  <c r="F58" i="6"/>
  <c r="H58" i="6" s="1"/>
  <c r="F57" i="6"/>
  <c r="H57" i="6" s="1"/>
  <c r="F60" i="6"/>
  <c r="H60" i="6" s="1"/>
  <c r="F55" i="6"/>
  <c r="F59" i="6"/>
  <c r="H59" i="6" s="1"/>
  <c r="F62" i="6"/>
  <c r="H62" i="6" s="1"/>
  <c r="H54" i="6"/>
  <c r="D26" i="6"/>
  <c r="C26" i="6"/>
  <c r="D46" i="6"/>
  <c r="C46" i="6"/>
  <c r="D67" i="6"/>
  <c r="C67" i="6"/>
  <c r="D51" i="6"/>
  <c r="C51" i="6"/>
  <c r="S8" i="5"/>
  <c r="S16" i="5"/>
  <c r="S10" i="5"/>
  <c r="S11" i="5"/>
  <c r="S19" i="5"/>
  <c r="S5" i="5"/>
  <c r="S7" i="5"/>
  <c r="S14" i="5"/>
  <c r="S13" i="5"/>
  <c r="S18" i="5"/>
  <c r="S9" i="5"/>
  <c r="S6" i="5"/>
  <c r="S12" i="5"/>
  <c r="S17" i="5"/>
  <c r="D59" i="6" l="1"/>
  <c r="C59" i="6"/>
  <c r="D60" i="6"/>
  <c r="C60" i="6"/>
  <c r="D57" i="6"/>
  <c r="C57" i="6"/>
  <c r="D58" i="6"/>
  <c r="C58" i="6"/>
  <c r="C63" i="6"/>
  <c r="D63" i="6"/>
  <c r="D54" i="6"/>
  <c r="C54" i="6"/>
  <c r="D62" i="6"/>
  <c r="C62" i="6"/>
  <c r="H55" i="6"/>
  <c r="F56" i="6"/>
  <c r="H56" i="6" s="1"/>
  <c r="T5" i="5"/>
  <c r="T12" i="5"/>
  <c r="T6" i="5"/>
  <c r="T9" i="5"/>
  <c r="T10" i="5"/>
  <c r="T16" i="5"/>
  <c r="T18" i="5"/>
  <c r="T13" i="5"/>
  <c r="T8" i="5"/>
  <c r="T14" i="5"/>
  <c r="T7" i="5"/>
  <c r="T17" i="5"/>
  <c r="T19" i="5"/>
  <c r="T11" i="5"/>
  <c r="D56" i="6" l="1"/>
  <c r="C56" i="6"/>
  <c r="C55" i="6"/>
  <c r="D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<sst xmlns="http://schemas.openxmlformats.org/spreadsheetml/2006/main" count="22377" uniqueCount="15830">
  <si>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</si>
  <si>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</si>
  <si>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</si>
  <si>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</si>
  <si>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</si>
  <si>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</si>
  <si>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</si>
  <si>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</si>
  <si>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</si>
  <si>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</si>
  <si>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</si>
  <si>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</si>
  <si>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</si>
  <si>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</si>
  <si>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</si>
  <si>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</si>
  <si>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</si>
  <si>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</si>
  <si>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</si>
  <si>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</si>
  <si>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</si>
  <si>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</si>
  <si>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</si>
  <si>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</si>
  <si>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</si>
  <si>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</si>
  <si>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</si>
  <si>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</si>
  <si>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</si>
  <si>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</si>
  <si>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</si>
  <si>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</si>
  <si>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</si>
  <si>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</si>
  <si>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</si>
  <si>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</si>
  <si>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</si>
  <si>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</si>
  <si>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</si>
  <si>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</si>
  <si>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</si>
  <si>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</si>
  <si>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</si>
  <si>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</si>
  <si>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</si>
  <si>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</si>
  <si>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</si>
  <si>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</si>
  <si>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</si>
  <si>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</si>
  <si>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</si>
  <si>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</si>
  <si>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</si>
  <si>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</si>
  <si>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</si>
  <si>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</si>
  <si>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</si>
  <si>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</si>
  <si>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</si>
  <si>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</si>
  <si>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</si>
  <si>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</si>
  <si>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</si>
  <si>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</si>
  <si>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</si>
  <si>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</si>
  <si>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</si>
  <si>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</si>
  <si>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</si>
  <si>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</si>
  <si>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</si>
  <si>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</si>
  <si>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</si>
  <si>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</si>
  <si>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</si>
  <si>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</si>
  <si>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</si>
  <si>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</si>
  <si>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</si>
  <si>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</si>
  <si>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</si>
  <si>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</si>
  <si>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</si>
  <si>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</si>
  <si>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</si>
  <si>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</si>
  <si>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</si>
  <si>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</si>
  <si>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</si>
  <si>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</si>
  <si>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</si>
  <si>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</si>
  <si>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</si>
  <si>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</si>
  <si>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</si>
  <si>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</si>
  <si>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</si>
  <si>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</si>
  <si>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</si>
  <si>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</si>
  <si>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</si>
  <si>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</si>
  <si>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</si>
  <si>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</si>
  <si>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</si>
  <si>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</si>
  <si>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</si>
  <si>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</si>
  <si>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</si>
  <si>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</si>
  <si>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</si>
  <si>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</si>
  <si>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</si>
  <si>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</si>
  <si>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</si>
  <si>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</si>
  <si>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</si>
  <si>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</si>
  <si>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</si>
  <si>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</si>
  <si>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</si>
  <si>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</si>
  <si>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</si>
  <si>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</si>
  <si>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</si>
  <si>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</si>
  <si>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</si>
  <si>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</si>
  <si>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</si>
  <si>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</si>
  <si>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</si>
  <si>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</si>
  <si>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</si>
  <si>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</si>
  <si>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</si>
  <si>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</si>
  <si>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</si>
  <si>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</si>
  <si>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</si>
  <si>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</si>
  <si>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</si>
  <si>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</si>
  <si>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</si>
  <si>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</si>
  <si>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</si>
  <si>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</si>
  <si>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</si>
  <si>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</si>
  <si>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</si>
  <si>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</si>
  <si>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</si>
  <si>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</si>
  <si>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</si>
  <si>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</si>
  <si>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</si>
  <si>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</si>
  <si>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</si>
  <si>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</si>
  <si>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</si>
  <si>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</si>
  <si>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</si>
  <si>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</si>
  <si>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</si>
  <si>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</si>
  <si>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</si>
  <si>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</si>
  <si>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</si>
  <si>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</si>
  <si>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</si>
  <si>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</si>
  <si>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</si>
  <si>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</si>
  <si>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</si>
  <si>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</si>
  <si>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</si>
  <si>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</si>
  <si>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</si>
  <si>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</si>
  <si>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</si>
  <si>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</si>
  <si>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</si>
  <si>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</si>
  <si>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</si>
  <si>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</si>
  <si>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</si>
  <si>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</si>
  <si>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</si>
  <si>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</si>
  <si>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</si>
  <si>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</si>
  <si>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</si>
  <si>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</si>
  <si>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</si>
  <si>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</si>
  <si>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</si>
  <si>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</si>
  <si>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</si>
  <si>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</si>
  <si>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</si>
  <si>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</si>
  <si>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</si>
  <si>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</si>
  <si>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</si>
  <si>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</si>
  <si>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</si>
  <si>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</si>
  <si>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</si>
  <si>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</si>
  <si>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</si>
  <si>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</si>
  <si>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</si>
  <si>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</si>
  <si>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</si>
  <si>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</si>
  <si>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</si>
  <si>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</si>
  <si>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</si>
  <si>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</si>
  <si>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</si>
  <si>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</si>
  <si>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</si>
  <si>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</si>
  <si>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</si>
  <si>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</si>
  <si>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</si>
  <si>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</si>
  <si>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</si>
  <si>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</si>
  <si>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</si>
  <si>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</si>
  <si>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</si>
  <si>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</si>
  <si>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</si>
  <si>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</si>
  <si>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</si>
  <si>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</si>
  <si>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</si>
  <si>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</si>
  <si>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</si>
  <si>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</si>
  <si>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</si>
  <si>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</si>
  <si>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</si>
  <si>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</si>
  <si>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</si>
  <si>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</si>
  <si>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</si>
  <si>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</si>
  <si>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</si>
  <si>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</si>
  <si>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</si>
  <si>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</si>
  <si>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</si>
  <si>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</si>
  <si>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</si>
  <si>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</si>
  <si>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</si>
  <si>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</si>
  <si>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</si>
  <si>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</si>
  <si>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</si>
  <si>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</si>
  <si>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</si>
  <si>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</si>
  <si>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</si>
  <si>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</si>
  <si>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</si>
  <si>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</si>
  <si>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</si>
  <si>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</si>
  <si>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</si>
  <si>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</si>
  <si>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</si>
  <si>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</si>
  <si>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</si>
  <si>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</si>
  <si>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</si>
  <si>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</si>
  <si>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</si>
  <si>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</si>
  <si>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</si>
  <si>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</si>
  <si>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</si>
  <si>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</si>
  <si>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</si>
  <si>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</si>
  <si>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</si>
  <si>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</si>
  <si>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</si>
  <si>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</si>
  <si>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</si>
  <si>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</si>
  <si>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</si>
  <si>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</si>
  <si>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</si>
  <si>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</si>
  <si>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</si>
  <si>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</si>
  <si>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</si>
  <si>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</si>
  <si>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</si>
  <si>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</si>
  <si>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</si>
  <si>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</si>
  <si>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</si>
  <si>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</si>
  <si>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</si>
  <si>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</si>
  <si>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</si>
  <si>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</si>
  <si>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</si>
  <si>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</si>
  <si>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</si>
  <si>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</si>
  <si>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</si>
  <si>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</si>
  <si>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</si>
  <si>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</si>
  <si>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</si>
  <si>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</si>
  <si>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</si>
  <si>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</si>
  <si>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</si>
  <si>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</si>
  <si>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</si>
  <si>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</si>
  <si>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</si>
  <si>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</si>
  <si>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</si>
  <si>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</si>
  <si>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</si>
  <si>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</si>
  <si>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</si>
  <si>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</si>
  <si>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</si>
  <si>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</si>
  <si>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</si>
  <si>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</si>
  <si>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</si>
  <si>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</si>
  <si>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</si>
  <si>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</si>
  <si>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</si>
  <si>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</si>
  <si>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</si>
  <si>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</si>
  <si>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</si>
  <si>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</si>
  <si>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</si>
  <si>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</si>
  <si>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</si>
  <si>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</si>
  <si>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</si>
  <si>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</si>
  <si>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</si>
  <si>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</si>
  <si>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</si>
  <si>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</si>
  <si>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</si>
  <si>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</si>
  <si>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</si>
  <si>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</si>
  <si>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</si>
  <si>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</si>
  <si>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</si>
  <si>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</si>
  <si>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</si>
  <si>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</si>
  <si>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</si>
  <si>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</si>
  <si>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</si>
  <si>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</si>
  <si>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</si>
  <si>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</si>
  <si>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</si>
  <si>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</si>
  <si>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</si>
  <si>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</si>
  <si>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</si>
  <si>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</si>
  <si>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</si>
  <si>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</si>
  <si>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</si>
  <si>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</si>
  <si>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</si>
  <si>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</si>
  <si>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</si>
  <si>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</si>
  <si>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</si>
  <si>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</si>
  <si>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</si>
  <si>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</si>
  <si>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</si>
  <si>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</si>
  <si>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</si>
  <si>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</si>
  <si>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</si>
  <si>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</si>
  <si>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</si>
  <si>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</si>
  <si>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</si>
  <si>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</si>
  <si>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</si>
  <si>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</si>
  <si>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</si>
  <si>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</si>
  <si>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</si>
  <si>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</si>
  <si>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</si>
  <si>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</si>
  <si>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</si>
  <si>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</si>
  <si>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</si>
  <si>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</si>
  <si>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</si>
  <si>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</si>
  <si>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</si>
  <si>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</si>
  <si>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</si>
  <si>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</si>
  <si>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</si>
  <si>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</si>
  <si>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</si>
  <si>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</si>
  <si>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</si>
  <si>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</si>
  <si>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</si>
  <si>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</si>
  <si>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</si>
  <si>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</si>
  <si>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</si>
  <si>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</si>
  <si>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</si>
  <si>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</si>
  <si>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</si>
  <si>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</si>
  <si>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</si>
  <si>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</si>
  <si>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</si>
  <si>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</si>
  <si>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</si>
  <si>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</si>
  <si>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</si>
  <si>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</si>
  <si>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</si>
  <si>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</si>
  <si>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</si>
  <si>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</si>
  <si>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</si>
  <si>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</si>
  <si>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</si>
  <si>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</si>
  <si>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</si>
  <si>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</si>
  <si>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</si>
  <si>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</si>
  <si>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</si>
  <si>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</si>
  <si>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</si>
  <si>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</si>
  <si>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</si>
  <si>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</si>
  <si>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</si>
  <si>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</si>
  <si>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</si>
  <si>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</si>
  <si>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</si>
  <si>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</si>
  <si>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</si>
  <si>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</si>
  <si>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</si>
  <si>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</si>
  <si>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</si>
  <si>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</si>
  <si>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</si>
  <si>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</si>
  <si>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</si>
  <si>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</si>
  <si>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</si>
  <si>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</si>
  <si>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</si>
  <si>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</si>
  <si>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</si>
  <si>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</si>
  <si>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</si>
  <si>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</si>
  <si>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</si>
  <si>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</si>
  <si>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</si>
  <si>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</si>
  <si>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</si>
  <si>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</si>
  <si>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</si>
  <si>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</si>
  <si>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</si>
  <si>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</si>
  <si>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</si>
  <si>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</si>
  <si>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</si>
  <si>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</si>
  <si>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</si>
  <si>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</si>
  <si>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</si>
  <si>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</si>
  <si>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</si>
  <si>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</si>
  <si>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</si>
  <si>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</si>
  <si>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</si>
  <si>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</si>
  <si>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</si>
  <si>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</si>
  <si>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</si>
  <si>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</si>
  <si>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</si>
  <si>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</si>
  <si>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</si>
  <si>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</si>
  <si>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</si>
  <si>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</si>
  <si>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</si>
  <si>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</si>
  <si>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</si>
  <si>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</si>
  <si>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</si>
  <si>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</si>
  <si>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</si>
  <si>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</si>
  <si>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</si>
  <si>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</si>
  <si>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</si>
  <si>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</si>
  <si>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</si>
  <si>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</si>
  <si>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</si>
  <si>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</si>
  <si>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</si>
  <si>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</si>
  <si>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</si>
  <si>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</si>
  <si>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</si>
  <si>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</si>
  <si>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</si>
  <si>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</si>
  <si>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</si>
  <si>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</si>
  <si>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</si>
  <si>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</si>
  <si>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</si>
  <si>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</si>
  <si>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</si>
  <si>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</si>
  <si>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</si>
  <si>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</si>
  <si>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</si>
  <si>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</si>
  <si>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</si>
  <si>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</si>
  <si>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</si>
  <si>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</si>
  <si>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</si>
  <si>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</si>
  <si>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</si>
  <si>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</si>
  <si>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</si>
  <si>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</si>
  <si>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</si>
  <si>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</si>
  <si>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</si>
  <si>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</si>
  <si>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</si>
  <si>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</si>
  <si>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</si>
  <si>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</si>
  <si>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</si>
  <si>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</si>
  <si>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</si>
  <si>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</si>
  <si>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</si>
  <si>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</si>
  <si>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</si>
  <si>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</si>
  <si>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</si>
  <si>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</si>
  <si>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</si>
  <si>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</si>
  <si>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</si>
  <si>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</si>
  <si>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</si>
  <si>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</si>
  <si>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</si>
  <si>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</si>
  <si>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</si>
  <si>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</si>
  <si>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</si>
  <si>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</si>
  <si>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</si>
  <si>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</si>
  <si>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</si>
  <si>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</si>
  <si>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</si>
  <si>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</si>
  <si>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</si>
  <si>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</si>
  <si>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</si>
  <si>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</si>
  <si>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</si>
  <si>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</si>
  <si>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</si>
  <si>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</si>
  <si>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</si>
  <si>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</si>
  <si>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</si>
  <si>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</si>
  <si>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</si>
  <si>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</si>
  <si>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</si>
  <si>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</si>
  <si>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</si>
  <si>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</si>
  <si>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</si>
  <si>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</si>
  <si>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</si>
  <si>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</si>
  <si>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</si>
  <si>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</si>
  <si>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</si>
  <si>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</si>
  <si>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</si>
  <si>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</si>
  <si>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</si>
  <si>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</si>
  <si>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</si>
  <si>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</si>
  <si>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</si>
  <si>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</si>
  <si>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</si>
  <si>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</si>
  <si>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</si>
  <si>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</si>
  <si>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</si>
  <si>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</si>
  <si>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</si>
  <si>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</si>
  <si>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</si>
  <si>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</si>
  <si>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</si>
  <si>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</si>
  <si>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</si>
  <si>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</si>
  <si>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</si>
  <si>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</si>
  <si>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</si>
  <si>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</si>
  <si>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</si>
  <si>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</si>
  <si>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</si>
  <si>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</si>
  <si>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</si>
  <si>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</si>
  <si>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</si>
  <si>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</si>
  <si>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</si>
  <si>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</si>
  <si>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</si>
  <si>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</si>
  <si>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</si>
  <si>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</si>
  <si>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</si>
  <si>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</si>
  <si>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</si>
  <si>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</si>
  <si>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</si>
  <si>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</si>
  <si>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</si>
  <si>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</si>
  <si>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</si>
  <si>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</si>
  <si>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</si>
  <si>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</si>
  <si>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</si>
  <si>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</si>
  <si>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</si>
  <si>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</si>
  <si>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</si>
  <si>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</si>
  <si>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</si>
  <si>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</si>
  <si>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</si>
  <si>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</si>
  <si>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</si>
  <si>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</si>
  <si>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</si>
  <si>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</si>
  <si>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</si>
  <si>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</si>
  <si>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</si>
  <si>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</si>
  <si>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</si>
  <si>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</si>
  <si>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</si>
  <si>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</si>
  <si>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</si>
  <si>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</si>
  <si>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</si>
  <si>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</si>
  <si>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</si>
  <si>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</si>
  <si>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</si>
  <si>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</si>
  <si>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</si>
  <si>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</si>
  <si>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</si>
  <si>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</si>
  <si>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</si>
  <si>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</si>
  <si>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</si>
  <si>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</si>
  <si>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</si>
  <si>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</si>
  <si>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</si>
  <si>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</si>
  <si>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</si>
  <si>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</si>
  <si>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</si>
  <si>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</si>
  <si>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</si>
  <si>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</si>
  <si>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</si>
  <si>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</si>
  <si>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</si>
  <si>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</si>
  <si>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</si>
  <si>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</si>
  <si>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</si>
  <si>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</si>
  <si>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</si>
  <si>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</si>
  <si>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</si>
  <si>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</si>
  <si>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</si>
  <si>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</si>
  <si>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</si>
  <si>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</si>
  <si>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</si>
  <si>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</si>
  <si>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</si>
  <si>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</si>
  <si>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</si>
  <si>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</si>
  <si>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</si>
  <si>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</si>
  <si>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</si>
  <si>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</si>
  <si>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</si>
  <si>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</si>
  <si>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</si>
  <si>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</si>
  <si>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</si>
  <si>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</si>
  <si>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</si>
  <si>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</si>
  <si>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</si>
  <si>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</si>
  <si>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</si>
  <si>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</si>
  <si>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</si>
  <si>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</si>
  <si>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</si>
  <si>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</si>
  <si>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</si>
  <si>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</si>
  <si>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</si>
  <si>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</si>
  <si>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</si>
  <si>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</si>
  <si>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</si>
  <si>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</si>
  <si>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</si>
  <si>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</si>
  <si>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</si>
  <si>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</si>
  <si>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</si>
  <si>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</si>
  <si>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</si>
  <si>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</si>
  <si>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</si>
  <si>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</si>
  <si>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</si>
  <si>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</si>
  <si>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</si>
  <si>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</si>
  <si>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</si>
  <si>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</si>
  <si>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</si>
  <si>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</si>
  <si>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</si>
  <si>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</si>
  <si>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</si>
  <si>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</si>
  <si>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</si>
  <si>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</si>
  <si>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</si>
  <si>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</si>
  <si>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</si>
  <si>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</si>
  <si>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</si>
  <si>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</si>
  <si>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</si>
  <si>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</si>
  <si>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</si>
  <si>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</si>
  <si>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</si>
  <si>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</si>
  <si>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</si>
  <si>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</si>
  <si>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</si>
  <si>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</si>
  <si>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</si>
  <si>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</si>
  <si>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</si>
  <si>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</si>
  <si>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</si>
  <si>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</si>
  <si>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</si>
  <si>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</si>
  <si>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</si>
  <si>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</si>
  <si>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</si>
  <si>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</si>
  <si>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</si>
  <si>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</si>
  <si>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</si>
  <si>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</si>
  <si>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</si>
  <si>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</si>
  <si>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</si>
  <si>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</si>
  <si>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</si>
  <si>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</si>
  <si>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</si>
  <si>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</si>
  <si>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</si>
  <si>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</si>
  <si>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</si>
  <si>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</si>
  <si>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</si>
  <si>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</si>
  <si>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</si>
  <si>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</si>
  <si>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</si>
  <si>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</si>
  <si>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</si>
  <si>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</si>
  <si>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</si>
  <si>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</si>
  <si>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</si>
  <si>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</si>
  <si>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</si>
  <si>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</si>
  <si>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</si>
  <si>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</si>
  <si>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</si>
  <si>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</si>
  <si>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</si>
  <si>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</si>
  <si>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</si>
  <si>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</si>
  <si>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</si>
  <si>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</si>
  <si>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</si>
  <si>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</si>
  <si>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</si>
  <si>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</si>
  <si>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</si>
  <si>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</si>
  <si>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</si>
  <si>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</si>
  <si>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</si>
  <si>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</si>
  <si>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</si>
  <si>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</si>
  <si>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</si>
  <si>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</si>
  <si>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</si>
  <si>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</si>
  <si>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</si>
  <si>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</si>
  <si>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</si>
  <si>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</si>
  <si>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</si>
  <si>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</si>
  <si>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</si>
  <si>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</si>
  <si>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</si>
  <si>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</si>
  <si>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</si>
  <si>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</si>
  <si>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</si>
  <si>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</si>
  <si>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</si>
  <si>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</si>
  <si>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</si>
  <si>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</si>
  <si>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</si>
  <si>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</si>
  <si>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</si>
  <si>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</si>
  <si>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</si>
  <si>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</si>
  <si>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</si>
  <si>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</si>
  <si>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</si>
  <si>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</si>
  <si>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</si>
  <si>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</si>
  <si>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</si>
  <si>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</si>
  <si>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</si>
  <si>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</si>
  <si>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</si>
  <si>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</si>
  <si>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</si>
  <si>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</si>
  <si>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</si>
  <si>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</si>
  <si>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</si>
  <si>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</si>
  <si>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</si>
  <si>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</si>
  <si>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</si>
  <si>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</si>
  <si>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</si>
  <si>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</si>
  <si>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</si>
  <si>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</si>
  <si>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</si>
  <si>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</si>
  <si>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</si>
  <si>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</si>
  <si>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</si>
  <si>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</si>
  <si>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</si>
  <si>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</si>
  <si>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</si>
  <si>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</si>
  <si>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</si>
  <si>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</si>
  <si>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</si>
  <si>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</si>
  <si>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</si>
  <si>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</si>
  <si>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</si>
  <si>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</si>
  <si>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</si>
  <si>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</si>
  <si>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</si>
  <si>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</si>
  <si>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</si>
  <si>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</si>
  <si>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</si>
  <si>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</si>
  <si>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</si>
  <si>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</si>
  <si>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</si>
  <si>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</si>
  <si>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</si>
  <si>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</si>
  <si>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</si>
  <si>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</si>
  <si>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</si>
  <si>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</si>
  <si>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</si>
  <si>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</si>
  <si>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</si>
  <si>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</si>
  <si>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</si>
  <si>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</si>
  <si>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</si>
  <si>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</si>
  <si>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</si>
  <si>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</si>
  <si>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</si>
  <si>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</si>
  <si>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</si>
  <si>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</si>
  <si>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</si>
  <si>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</si>
  <si>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</si>
  <si>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</si>
  <si>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</si>
  <si>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</si>
  <si>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</si>
  <si>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</si>
  <si>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</si>
  <si>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</si>
  <si>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</si>
  <si>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</si>
  <si>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</si>
  <si>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</si>
  <si>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</si>
  <si>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</si>
  <si>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</si>
  <si>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</si>
  <si>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</si>
  <si>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</si>
  <si>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</si>
  <si>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</si>
  <si>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</si>
  <si>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</si>
  <si>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</si>
  <si>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</si>
  <si>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</si>
  <si>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</si>
  <si>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</si>
  <si>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</si>
  <si>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</si>
  <si>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</si>
  <si>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</si>
  <si>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</si>
  <si>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</si>
  <si>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</si>
  <si>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</si>
  <si>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</si>
  <si>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</si>
  <si>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</si>
  <si>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</si>
  <si>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</si>
  <si>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</si>
  <si>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</si>
  <si>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</si>
  <si>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</si>
  <si>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</si>
  <si>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</si>
  <si>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</si>
  <si>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</si>
  <si>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</si>
  <si>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</si>
  <si>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</si>
  <si>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</si>
  <si>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</si>
  <si>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</si>
  <si>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</si>
  <si>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</si>
  <si>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</si>
  <si>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</si>
  <si>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</si>
  <si>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</si>
  <si>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</si>
  <si>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</si>
  <si>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</si>
  <si>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</si>
  <si>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</si>
  <si>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</si>
  <si>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</si>
  <si>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</si>
  <si>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</si>
  <si>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</si>
  <si>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</si>
  <si>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</si>
  <si>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</si>
  <si>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</si>
  <si>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</si>
  <si>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</si>
  <si>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</si>
  <si>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</si>
  <si>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</si>
  <si>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</si>
  <si>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</si>
  <si>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</si>
  <si>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</si>
  <si>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</si>
  <si>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</si>
  <si>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</si>
  <si>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</si>
  <si>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</si>
  <si>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</si>
  <si>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</si>
  <si>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</si>
  <si>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</si>
  <si>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</si>
  <si>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</si>
  <si>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</si>
  <si>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</si>
  <si>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</si>
  <si>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</si>
  <si>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</si>
  <si>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</si>
  <si>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</si>
  <si>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</si>
  <si>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</si>
  <si>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</si>
  <si>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</si>
  <si>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</si>
  <si>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</si>
  <si>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</si>
  <si>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</si>
  <si>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</si>
  <si>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</si>
  <si>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</si>
  <si>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</si>
  <si>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</si>
  <si>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</si>
  <si>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</si>
  <si>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</si>
  <si>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</si>
  <si>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</si>
  <si>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</si>
  <si>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</si>
  <si>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</si>
  <si>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</si>
  <si>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</si>
  <si>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</si>
  <si>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</si>
  <si>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</si>
  <si>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</si>
  <si>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</si>
  <si>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</si>
  <si>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</si>
  <si>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</si>
  <si>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</si>
  <si>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</si>
  <si>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</si>
  <si>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</si>
  <si>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</si>
  <si>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</si>
  <si>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</si>
  <si>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</si>
  <si>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</si>
  <si>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</si>
  <si>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</si>
  <si>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</si>
  <si>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</si>
  <si>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</si>
  <si>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</si>
  <si>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</si>
  <si>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</si>
  <si>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</si>
  <si>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</si>
  <si>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</si>
  <si>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</si>
  <si>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</si>
  <si>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</si>
  <si>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</si>
  <si>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</si>
  <si>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</si>
  <si>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</si>
  <si>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</si>
  <si>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</si>
  <si>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</si>
  <si>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</si>
  <si>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</si>
  <si>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</si>
  <si>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</si>
  <si>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</si>
  <si>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</si>
  <si>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</si>
  <si>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</si>
  <si>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</si>
  <si>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</si>
  <si>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</si>
  <si>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</si>
  <si>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</si>
  <si>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</si>
  <si>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</si>
  <si>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</si>
  <si>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</si>
  <si>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</si>
  <si>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</si>
  <si>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</si>
  <si>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</si>
  <si>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</si>
  <si>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</si>
  <si>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</si>
  <si>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</si>
  <si>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</si>
  <si>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</si>
  <si>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</si>
  <si>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</si>
  <si>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</si>
  <si>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</si>
  <si>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</si>
  <si>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</si>
  <si>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</si>
  <si>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</si>
  <si>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</si>
  <si>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</si>
  <si>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</si>
  <si>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</si>
  <si>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</si>
  <si>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</si>
  <si>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</si>
  <si>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</si>
  <si>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</si>
  <si>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</si>
  <si>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</si>
  <si>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</si>
  <si>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</si>
  <si>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</si>
  <si>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</si>
  <si>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</si>
  <si>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</si>
  <si>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</si>
  <si>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</si>
  <si>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</si>
  <si>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</si>
  <si>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</si>
  <si>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</si>
  <si>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</si>
  <si>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</si>
  <si>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</si>
  <si>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</si>
  <si>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</si>
  <si>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</si>
  <si>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</si>
  <si>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</si>
  <si>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</si>
  <si>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</si>
  <si>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</si>
  <si>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</si>
  <si>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</si>
  <si>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</si>
  <si>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</si>
  <si>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</si>
  <si>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</si>
  <si>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</si>
  <si>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</si>
  <si>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</si>
  <si>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</si>
  <si>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</si>
  <si>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</si>
  <si>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</si>
  <si>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</si>
  <si>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</si>
  <si>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</si>
  <si>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</si>
  <si>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</si>
  <si>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</si>
  <si>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</si>
  <si>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</si>
  <si>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</si>
  <si>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</si>
  <si>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</si>
  <si>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</si>
  <si>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</si>
  <si>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</si>
  <si>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</si>
  <si>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</si>
  <si>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</si>
  <si>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</si>
  <si>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</si>
  <si>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</si>
  <si>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</si>
  <si>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</si>
  <si>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</si>
  <si>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</si>
  <si>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</si>
  <si>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</si>
  <si>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</si>
  <si>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</si>
  <si>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</si>
  <si>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</si>
  <si>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</si>
  <si>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</si>
  <si>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</si>
  <si>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</si>
  <si>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</si>
  <si>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</si>
  <si>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</si>
  <si>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</si>
  <si>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</si>
  <si>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</si>
  <si>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</si>
  <si>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</si>
  <si>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</si>
  <si>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</si>
  <si>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</si>
  <si>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</si>
  <si>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</si>
  <si>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</si>
  <si>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</si>
  <si>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</si>
  <si>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</si>
  <si>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</si>
  <si>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</si>
  <si>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</si>
  <si>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</si>
  <si>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</si>
  <si>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</si>
  <si>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</si>
  <si>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</si>
  <si>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</si>
  <si>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</si>
  <si>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</si>
  <si>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</si>
  <si>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</si>
  <si>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</si>
  <si>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</si>
  <si>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</si>
  <si>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</si>
  <si>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</si>
  <si>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</si>
  <si>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</si>
  <si>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</si>
  <si>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</si>
  <si>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</si>
  <si>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</si>
  <si>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</si>
  <si>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</si>
  <si>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</si>
  <si>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</si>
  <si>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</si>
  <si>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</si>
  <si>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</si>
  <si>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</si>
  <si>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</si>
  <si>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</si>
  <si>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</si>
  <si>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</si>
  <si>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</si>
  <si>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</si>
  <si>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</si>
  <si>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</si>
  <si>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</si>
  <si>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</si>
  <si>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</si>
  <si>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</si>
  <si>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</si>
  <si>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</si>
  <si>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</si>
  <si>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</si>
  <si>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</si>
  <si>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</si>
  <si>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</si>
  <si>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</si>
  <si>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</si>
  <si>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</si>
  <si>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</si>
  <si>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</si>
  <si>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</si>
  <si>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</si>
  <si>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</si>
  <si>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</si>
  <si>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</si>
  <si>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</si>
  <si>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</si>
  <si>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</si>
  <si>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</si>
  <si>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</si>
  <si>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</si>
  <si>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</si>
  <si>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</si>
  <si>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</si>
  <si>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</si>
  <si>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</si>
  <si>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</si>
  <si>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</si>
  <si>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</si>
  <si>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</si>
  <si>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</si>
  <si>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</si>
  <si>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</si>
  <si>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</si>
  <si>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</si>
  <si>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</si>
  <si>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</si>
  <si>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</si>
  <si>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</si>
  <si>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</si>
  <si>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</si>
  <si>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</si>
  <si>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</si>
  <si>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</si>
  <si>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</si>
  <si>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</si>
  <si>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</si>
  <si>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</si>
  <si>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</si>
  <si>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</si>
  <si>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</si>
  <si>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</si>
  <si>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</si>
  <si>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</si>
  <si>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</si>
  <si>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</si>
  <si>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</si>
  <si>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</si>
  <si>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</si>
  <si>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</si>
  <si>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</si>
  <si>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</si>
  <si>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</si>
  <si>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</si>
  <si>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</si>
  <si>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</si>
  <si>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</si>
  <si>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</si>
  <si>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</si>
  <si>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</si>
  <si>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</si>
  <si>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</si>
  <si>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</si>
  <si>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</si>
  <si>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</si>
  <si>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</si>
  <si>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</si>
  <si>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</si>
  <si>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</si>
  <si>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</si>
  <si>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</si>
  <si>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</si>
  <si>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</si>
  <si>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</si>
  <si>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</si>
  <si>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</si>
  <si>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</si>
  <si>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</si>
  <si>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</si>
  <si>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</si>
  <si>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</si>
  <si>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</si>
  <si>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</si>
  <si>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</si>
  <si>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</si>
  <si>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</si>
  <si>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</si>
  <si>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</si>
  <si>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</si>
  <si>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</si>
  <si>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</si>
  <si>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</si>
  <si>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</si>
  <si>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</si>
  <si>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</si>
  <si>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</si>
  <si>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</si>
  <si>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</si>
  <si>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</si>
  <si>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</si>
  <si>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</si>
  <si>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</si>
  <si>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</si>
  <si>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</si>
  <si>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</si>
  <si>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</si>
  <si>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</si>
  <si>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</si>
  <si>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</si>
  <si>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</si>
  <si>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</si>
  <si>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</si>
  <si>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</si>
  <si>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</si>
  <si>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</si>
  <si>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</si>
  <si>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</si>
  <si>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</si>
  <si>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</si>
  <si>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</si>
  <si>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</si>
  <si>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</si>
  <si>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</si>
  <si>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</si>
  <si>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</si>
  <si>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</si>
  <si>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</si>
  <si>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</si>
  <si>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</si>
  <si>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</si>
  <si>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</si>
  <si>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</si>
  <si>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</si>
  <si>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</si>
  <si>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</si>
  <si>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</si>
  <si>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</si>
  <si>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</si>
  <si>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</si>
  <si>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</si>
  <si>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</si>
  <si>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</si>
  <si>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</si>
  <si>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</si>
  <si>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</si>
  <si>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</si>
  <si>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</si>
  <si>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</si>
  <si>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</si>
  <si>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</si>
  <si>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</si>
  <si>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</si>
  <si>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</si>
  <si>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</si>
  <si>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</si>
  <si>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</si>
  <si>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</si>
  <si>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</si>
  <si>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</si>
  <si>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</si>
  <si>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</si>
  <si>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</si>
  <si>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</si>
  <si>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</si>
  <si>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</si>
  <si>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</si>
  <si>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</si>
  <si>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</si>
  <si>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</si>
  <si>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</si>
  <si>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</si>
  <si>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</si>
  <si>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</si>
  <si>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</si>
  <si>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</si>
  <si>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</si>
  <si>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</si>
  <si>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</si>
  <si>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</si>
  <si>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</si>
  <si>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</si>
  <si>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</si>
  <si>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</si>
  <si>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</si>
  <si>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</si>
  <si>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</si>
  <si>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</si>
  <si>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</si>
  <si>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</si>
  <si>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</si>
  <si>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</si>
  <si>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</si>
  <si>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</si>
  <si>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</si>
  <si>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</si>
  <si>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</si>
  <si>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</si>
  <si>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</si>
  <si>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</si>
  <si>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</si>
  <si>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</si>
  <si>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</si>
  <si>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</si>
  <si>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</si>
  <si>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</si>
  <si>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</si>
  <si>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</si>
  <si>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</si>
  <si>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</si>
  <si>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</si>
  <si>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</si>
  <si>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</si>
  <si>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</si>
  <si>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</si>
  <si>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</si>
  <si>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</si>
  <si>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</si>
  <si>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</si>
  <si>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</si>
  <si>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</si>
  <si>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</si>
  <si>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</si>
  <si>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</si>
  <si>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</si>
  <si>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</si>
  <si>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</si>
  <si>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</si>
  <si>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</si>
  <si>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</si>
  <si>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</si>
  <si>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</si>
  <si>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</si>
  <si>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</si>
  <si>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</si>
  <si>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</si>
  <si>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</si>
  <si>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</si>
  <si>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</si>
  <si>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</si>
  <si>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</si>
  <si>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</si>
  <si>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</si>
  <si>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</si>
  <si>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</si>
  <si>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</si>
  <si>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</si>
  <si>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</si>
  <si>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</si>
  <si>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</si>
  <si>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</si>
  <si>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</si>
  <si>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</si>
  <si>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</si>
  <si>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</si>
  <si>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</si>
  <si>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</si>
  <si>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</si>
  <si>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</si>
  <si>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</si>
  <si>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</si>
  <si>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</si>
  <si>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</si>
  <si>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</si>
  <si>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</si>
  <si>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</si>
  <si>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</si>
  <si>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</si>
  <si>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</si>
  <si>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</si>
  <si>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</si>
  <si>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</si>
  <si>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</si>
  <si>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</si>
  <si>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</si>
  <si>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</si>
  <si>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</si>
  <si>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</si>
  <si>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</si>
  <si>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</si>
  <si>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</si>
  <si>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</si>
  <si>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</si>
  <si>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</si>
  <si>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</si>
  <si>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</si>
  <si>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</si>
  <si>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</si>
  <si>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</si>
  <si>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</si>
  <si>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</si>
  <si>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</si>
  <si>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</si>
  <si>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</si>
  <si>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</si>
  <si>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</si>
  <si>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</si>
  <si>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</si>
  <si>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</si>
  <si>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</si>
  <si>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</si>
  <si>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</si>
  <si>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</si>
  <si>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</si>
  <si>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</si>
  <si>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</si>
  <si>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</si>
  <si>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</si>
  <si>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</si>
  <si>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</si>
  <si>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</si>
  <si>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</si>
  <si>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</si>
  <si>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</si>
  <si>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</si>
  <si>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</si>
  <si>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</si>
  <si>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</si>
  <si>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</si>
  <si>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</si>
  <si>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</si>
  <si>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</si>
  <si>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</si>
  <si>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</si>
  <si>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</si>
  <si>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</si>
  <si>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</si>
  <si>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</si>
  <si>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</si>
  <si>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</si>
  <si>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</si>
  <si>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</si>
  <si>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</si>
  <si>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</si>
  <si>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</si>
  <si>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</si>
  <si>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</si>
  <si>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</si>
  <si>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</si>
  <si>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</si>
  <si>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</si>
  <si>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</si>
  <si>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</si>
  <si>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</si>
  <si>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</si>
  <si>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</si>
  <si>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</si>
  <si>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</si>
  <si>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</si>
  <si>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</si>
  <si>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</si>
  <si>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</si>
  <si>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</si>
  <si>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</si>
  <si>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</si>
  <si>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</si>
  <si>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</si>
  <si>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</si>
  <si>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</si>
  <si>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</si>
  <si>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</si>
  <si>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</si>
  <si>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</si>
  <si>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</si>
  <si>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</si>
  <si>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</si>
  <si>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</si>
  <si>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</si>
  <si>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</si>
  <si>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</si>
  <si>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</si>
  <si>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</si>
  <si>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</si>
  <si>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</si>
  <si>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</si>
  <si>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</si>
  <si>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</si>
  <si>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</si>
  <si>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</si>
  <si>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</si>
  <si>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</si>
  <si>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</si>
  <si>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</si>
  <si>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</si>
  <si>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</si>
  <si>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</si>
  <si>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</si>
  <si>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</si>
  <si>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</si>
  <si>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</si>
  <si>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</si>
  <si>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</si>
  <si>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</si>
  <si>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</si>
  <si>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</si>
  <si>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</si>
  <si>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</si>
  <si>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</si>
  <si>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</si>
  <si>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</si>
  <si>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</si>
  <si>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</si>
  <si>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</si>
  <si>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</si>
  <si>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</si>
  <si>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</si>
  <si>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</si>
  <si>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</si>
  <si>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</si>
  <si>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</si>
  <si>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</si>
  <si>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</si>
  <si>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</si>
  <si>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</si>
  <si>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</si>
  <si>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</si>
  <si>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</si>
  <si>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</si>
  <si>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</si>
  <si>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</si>
  <si>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</si>
  <si>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</si>
  <si>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</si>
  <si>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</si>
  <si>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</si>
  <si>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</si>
  <si>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</si>
  <si>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</si>
  <si>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</si>
  <si>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</si>
  <si>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</si>
  <si>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</si>
  <si>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</si>
  <si>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</si>
  <si>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</si>
  <si>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</si>
  <si>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</si>
  <si>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</si>
  <si>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</si>
  <si>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</si>
  <si>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</si>
  <si>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</si>
  <si>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</si>
  <si>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</si>
  <si>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</si>
  <si>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</si>
  <si>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</si>
  <si>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</si>
  <si>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</si>
  <si>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</si>
  <si>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</si>
  <si>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</si>
  <si>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</si>
  <si>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</si>
  <si>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</si>
  <si>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</si>
  <si>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</si>
  <si>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</si>
  <si>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</si>
  <si>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</si>
  <si>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</si>
  <si>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</si>
  <si>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</si>
  <si>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</si>
  <si>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</si>
  <si>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</si>
  <si>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</si>
  <si>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</si>
  <si>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</si>
  <si>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</si>
  <si>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</si>
  <si>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</si>
  <si>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</si>
  <si>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</si>
  <si>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</si>
  <si>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</si>
  <si>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</si>
  <si>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</si>
  <si>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</si>
  <si>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</si>
  <si>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</si>
  <si>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</si>
  <si>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</si>
  <si>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</si>
  <si>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</si>
  <si>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</si>
  <si>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</si>
  <si>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</si>
  <si>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</si>
  <si>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</si>
  <si>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</si>
  <si>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</si>
  <si>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</si>
  <si>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</si>
  <si>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</si>
  <si>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</si>
  <si>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</si>
  <si>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</si>
  <si>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</si>
  <si>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</si>
  <si>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</si>
  <si>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</si>
  <si>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</si>
  <si>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</si>
  <si>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</si>
  <si>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</si>
  <si>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</si>
  <si>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</si>
  <si>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</si>
  <si>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</si>
  <si>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</si>
  <si>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</si>
  <si>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</si>
  <si>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</si>
  <si>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</si>
  <si>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</si>
  <si>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</si>
  <si>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</si>
  <si>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</si>
  <si>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</si>
  <si>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</si>
  <si>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</si>
  <si>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</si>
  <si>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</si>
  <si>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</si>
  <si>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</si>
  <si>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</si>
  <si>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</si>
  <si>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</si>
  <si>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</si>
  <si>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</si>
  <si>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</si>
  <si>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</si>
  <si>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</si>
  <si>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</si>
  <si>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</si>
  <si>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</si>
  <si>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</si>
  <si>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</si>
  <si>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</si>
  <si>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</si>
  <si>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</si>
  <si>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</si>
  <si>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</si>
  <si>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</si>
  <si>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</si>
  <si>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</si>
  <si>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</si>
  <si>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</si>
  <si>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</si>
  <si>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</si>
  <si>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</si>
  <si>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</si>
  <si>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</si>
  <si>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</si>
  <si>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</si>
  <si>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</si>
  <si>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</si>
  <si>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</si>
  <si>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</si>
  <si>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</si>
  <si>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</si>
  <si>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</si>
  <si>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</si>
  <si>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</si>
  <si>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</si>
  <si>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</si>
  <si>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</si>
  <si>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</si>
  <si>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</si>
  <si>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</si>
  <si>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</si>
  <si>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</si>
  <si>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</si>
  <si>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</si>
  <si>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</si>
  <si>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</si>
  <si>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</si>
  <si>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</si>
  <si>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</si>
  <si>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</si>
  <si>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</si>
  <si>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</si>
  <si>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</si>
  <si>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</si>
  <si>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</si>
  <si>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</si>
  <si>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</si>
  <si>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</si>
  <si>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</si>
  <si>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</si>
  <si>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</si>
  <si>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</si>
  <si>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</si>
  <si>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</si>
  <si>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</si>
  <si>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</si>
  <si>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</si>
  <si>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</si>
  <si>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</si>
  <si>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</si>
  <si>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</si>
  <si>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</si>
  <si>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</si>
  <si>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</si>
  <si>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</si>
  <si>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</si>
  <si>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</si>
  <si>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</si>
  <si>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</si>
  <si>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</si>
  <si>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</si>
  <si>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</si>
  <si>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</si>
  <si>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</si>
  <si>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</si>
  <si>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</si>
  <si>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</si>
  <si>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</si>
  <si>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</si>
  <si>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</si>
  <si>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</si>
  <si>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</si>
  <si>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</si>
  <si>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</si>
  <si>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</si>
  <si>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</si>
  <si>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</si>
  <si>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</si>
  <si>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</si>
  <si>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</si>
  <si>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</si>
  <si>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</si>
  <si>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</si>
  <si>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</si>
  <si>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</si>
  <si>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</si>
  <si>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</si>
  <si>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</si>
  <si>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</si>
  <si>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</si>
  <si>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</si>
  <si>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</si>
  <si>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</si>
  <si>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</si>
  <si>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</si>
  <si>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</si>
  <si>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</si>
  <si>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</si>
  <si>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</si>
  <si>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</si>
  <si>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</si>
  <si>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</si>
  <si>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</si>
  <si>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</si>
  <si>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</si>
  <si>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</si>
  <si>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</si>
  <si>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</si>
  <si>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</si>
  <si>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</si>
  <si>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</si>
  <si>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</si>
  <si>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</si>
  <si>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</si>
  <si>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</si>
  <si>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</si>
  <si>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</si>
  <si>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</si>
  <si>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</si>
  <si>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</si>
  <si>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</si>
  <si>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</si>
  <si>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</si>
  <si>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</si>
  <si>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</si>
  <si>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</si>
  <si>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</si>
  <si>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</si>
  <si>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</si>
  <si>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</si>
  <si>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</si>
  <si>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</si>
  <si>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</si>
  <si>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</si>
  <si>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</si>
  <si>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</si>
  <si>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</si>
  <si>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</si>
  <si>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</si>
  <si>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</si>
  <si>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</si>
  <si>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</si>
  <si>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</si>
  <si>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</si>
  <si>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</si>
  <si>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</si>
  <si>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</si>
  <si>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</si>
  <si>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</si>
  <si>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</si>
  <si>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</si>
  <si>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</si>
  <si>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</si>
  <si>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</si>
  <si>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</si>
  <si>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</si>
  <si>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</si>
  <si>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</si>
  <si>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</si>
  <si>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</si>
  <si>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</si>
  <si>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</si>
  <si>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</si>
  <si>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</si>
  <si>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</si>
  <si>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</si>
  <si>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</si>
  <si>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</si>
  <si>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</si>
  <si>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</si>
  <si>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</si>
  <si>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</si>
  <si>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</si>
  <si>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</si>
  <si>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</si>
  <si>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</si>
  <si>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</si>
  <si>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</si>
  <si>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</si>
  <si>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</si>
  <si>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</si>
  <si>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</si>
  <si>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</si>
  <si>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</si>
  <si>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</si>
  <si>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</si>
  <si>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</si>
  <si>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</si>
  <si>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</si>
  <si>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</si>
  <si>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</si>
  <si>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</si>
  <si>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</si>
  <si>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</si>
  <si>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</si>
  <si>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</si>
  <si>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</si>
  <si>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</si>
  <si>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</si>
  <si>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</si>
  <si>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</si>
  <si>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</si>
  <si>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</si>
  <si>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</si>
  <si>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</si>
  <si>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</si>
  <si>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</si>
  <si>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</si>
  <si>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</si>
  <si>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</si>
  <si>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</si>
  <si>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</si>
  <si>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</si>
  <si>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</si>
  <si>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</si>
  <si>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</si>
  <si>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</si>
  <si>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</si>
  <si>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</si>
  <si>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</si>
  <si>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</si>
  <si>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</si>
  <si>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</si>
  <si>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</si>
  <si>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</si>
  <si>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</si>
  <si>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</si>
  <si>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</si>
  <si>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</si>
  <si>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</si>
  <si>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</si>
  <si>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</si>
  <si>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</si>
  <si>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</si>
  <si>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</si>
  <si>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</si>
  <si>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</si>
  <si>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</si>
  <si>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</si>
  <si>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</si>
  <si>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</si>
  <si>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</si>
  <si>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</si>
  <si>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</si>
  <si>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</si>
  <si>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</si>
  <si>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</si>
  <si>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</si>
  <si>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</si>
  <si>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</si>
  <si>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</si>
  <si>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</si>
  <si>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</si>
  <si>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</si>
  <si>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</si>
  <si>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</si>
  <si>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</si>
  <si>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</si>
  <si>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</si>
  <si>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</si>
  <si>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</si>
  <si>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</si>
  <si>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</si>
  <si>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</si>
  <si>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</si>
  <si>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</si>
  <si>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</si>
  <si>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</si>
  <si>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</si>
  <si>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</si>
  <si>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</si>
  <si>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</si>
  <si>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</si>
  <si>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</si>
  <si>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</si>
  <si>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</si>
  <si>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</si>
  <si>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</si>
  <si>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</si>
  <si>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</si>
  <si>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</si>
  <si>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</si>
  <si>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</si>
  <si>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</si>
  <si>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</si>
  <si>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</si>
  <si>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</si>
  <si>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</si>
  <si>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</si>
  <si>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</si>
  <si>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</si>
  <si>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</si>
  <si>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</si>
  <si>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</si>
  <si>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</si>
  <si>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</si>
  <si>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</si>
  <si>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</si>
  <si>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</si>
  <si>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</si>
  <si>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</si>
  <si>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</si>
  <si>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</si>
  <si>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</si>
  <si>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</si>
  <si>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</si>
  <si>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</si>
  <si>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</si>
  <si>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</si>
  <si>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</si>
  <si>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</si>
  <si>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</si>
  <si>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</si>
  <si>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</si>
  <si>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</si>
  <si>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</si>
  <si>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</si>
  <si>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</si>
  <si>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</si>
  <si>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</si>
  <si>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</si>
  <si>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</si>
  <si>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</si>
  <si>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</si>
  <si>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</si>
  <si>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</si>
  <si>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</si>
  <si>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</si>
  <si>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</si>
  <si>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</si>
  <si>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</si>
  <si>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</si>
  <si>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</si>
  <si>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</si>
  <si>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</si>
  <si>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</si>
  <si>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</si>
  <si>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</si>
  <si>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</si>
  <si>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</si>
  <si>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</si>
  <si>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</si>
  <si>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</si>
  <si>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</si>
  <si>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</si>
  <si>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</si>
  <si>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</si>
  <si>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</si>
  <si>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</si>
  <si>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</si>
  <si>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</si>
  <si>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</si>
  <si>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</si>
  <si>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</si>
  <si>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</si>
  <si>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</si>
  <si>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</si>
  <si>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</si>
  <si>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</si>
  <si>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</si>
  <si>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</si>
  <si>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</si>
  <si>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</si>
  <si>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</si>
  <si>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</si>
  <si>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</si>
  <si>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</si>
  <si>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</si>
  <si>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</si>
  <si>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</si>
  <si>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</si>
  <si>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</si>
  <si>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</si>
  <si>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</si>
  <si>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</si>
  <si>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</si>
  <si>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</si>
  <si>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</si>
  <si>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</si>
  <si>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</si>
  <si>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</si>
  <si>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</si>
  <si>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</si>
  <si>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</si>
  <si>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</si>
  <si>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</si>
  <si>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</si>
  <si>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</si>
  <si>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</si>
  <si>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</si>
  <si>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</si>
  <si>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</si>
  <si>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</si>
  <si>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</si>
  <si>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</si>
  <si>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</si>
  <si>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</si>
  <si>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</si>
  <si>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</si>
  <si>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</si>
  <si>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</si>
  <si>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</si>
  <si>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</si>
  <si>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</si>
  <si>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</si>
  <si>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</si>
  <si>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</si>
  <si>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</si>
  <si>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</si>
  <si>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</si>
  <si>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</si>
  <si>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</si>
  <si>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</si>
  <si>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</si>
  <si>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</si>
  <si>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</si>
  <si>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</si>
  <si>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</si>
  <si>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</si>
  <si>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</si>
  <si>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</si>
  <si>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</si>
  <si>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</si>
  <si>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</si>
  <si>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</si>
  <si>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</si>
  <si>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</si>
  <si>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</si>
  <si>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</si>
  <si>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</si>
  <si>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</si>
  <si>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</si>
  <si>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</si>
  <si>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</si>
  <si>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</si>
  <si>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</si>
  <si>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</si>
  <si>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</si>
  <si>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</si>
  <si>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</si>
  <si>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</si>
  <si>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</si>
  <si>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</si>
  <si>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</si>
  <si>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</si>
  <si>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</si>
  <si>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</si>
  <si>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</si>
  <si>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</si>
  <si>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</si>
  <si>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</si>
  <si>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</si>
  <si>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</si>
  <si>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</si>
  <si>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</si>
  <si>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</si>
  <si>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</si>
  <si>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</si>
  <si>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</si>
  <si>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</si>
  <si>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</si>
  <si>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</si>
  <si>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</si>
  <si>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</si>
  <si>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</si>
  <si>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</si>
  <si>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</si>
  <si>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</si>
  <si>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</si>
  <si>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</si>
  <si>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</si>
  <si>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</si>
  <si>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</si>
  <si>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</si>
  <si>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</si>
  <si>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</si>
  <si>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</si>
  <si>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</si>
  <si>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</si>
  <si>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</si>
  <si>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</si>
  <si>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</si>
  <si>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</si>
  <si>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</si>
  <si>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</si>
  <si>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</si>
  <si>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</si>
  <si>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</si>
  <si>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</si>
  <si>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</si>
  <si>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</si>
  <si>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</si>
  <si>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</si>
  <si>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</si>
  <si>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</si>
  <si>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</si>
  <si>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</si>
  <si>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</si>
  <si>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</si>
  <si>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</si>
  <si>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</si>
  <si>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</si>
  <si>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</si>
  <si>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</si>
  <si>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</si>
  <si>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</si>
  <si>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</si>
  <si>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</si>
  <si>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</si>
  <si>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</si>
  <si>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</si>
  <si>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</si>
  <si>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</si>
  <si>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</si>
  <si>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</si>
  <si>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</si>
  <si>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</si>
  <si>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</si>
  <si>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</si>
  <si>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</si>
  <si>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</si>
  <si>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</si>
  <si>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</si>
  <si>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</si>
  <si>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</si>
  <si>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</si>
  <si>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</si>
  <si>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</si>
  <si>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</si>
  <si>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</si>
  <si>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</si>
  <si>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</si>
  <si>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</si>
  <si>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</si>
  <si>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</si>
  <si>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</si>
  <si>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</si>
  <si>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</si>
  <si>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</si>
  <si>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</si>
  <si>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</si>
  <si>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</si>
  <si>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</si>
  <si>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</si>
  <si>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</si>
  <si>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</si>
  <si>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</si>
  <si>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</si>
  <si>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</si>
  <si>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</si>
  <si>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</si>
  <si>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</si>
  <si>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</si>
  <si>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</si>
  <si>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</si>
  <si>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</si>
  <si>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</si>
  <si>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</si>
  <si>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</si>
  <si>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</si>
  <si>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</si>
  <si>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</si>
  <si>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</si>
  <si>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</si>
  <si>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</si>
  <si>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</si>
  <si>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</si>
  <si>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</si>
  <si>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</si>
  <si>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</si>
  <si>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</si>
  <si>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</si>
  <si>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</si>
  <si>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</si>
  <si>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</si>
  <si>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</si>
  <si>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</si>
  <si>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</si>
  <si>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</si>
  <si>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</si>
  <si>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</si>
  <si>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</si>
  <si>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</si>
  <si>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</si>
  <si>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</si>
  <si>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</si>
  <si>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</si>
  <si>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</si>
  <si>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</si>
  <si>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</si>
  <si>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</si>
  <si>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</si>
  <si>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</si>
  <si>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</si>
  <si>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</si>
  <si>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</si>
  <si>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</si>
  <si>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</si>
  <si>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</si>
  <si>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</si>
  <si>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</si>
  <si>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</si>
  <si>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</si>
  <si>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</si>
  <si>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</si>
  <si>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</si>
  <si>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</si>
  <si>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</si>
  <si>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</si>
  <si>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</si>
  <si>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</si>
  <si>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</si>
  <si>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</si>
  <si>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</si>
  <si>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</si>
  <si>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</si>
  <si>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</si>
  <si>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</si>
  <si>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</si>
  <si>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</si>
  <si>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</si>
  <si>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</si>
  <si>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</si>
  <si>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</si>
  <si>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</si>
  <si>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</si>
  <si>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</si>
  <si>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</si>
  <si>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</si>
  <si>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</si>
  <si>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</si>
  <si>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</si>
  <si>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</si>
  <si>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</si>
  <si>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</si>
  <si>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</si>
  <si>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</si>
  <si>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</si>
  <si>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</si>
  <si>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</si>
  <si>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</si>
  <si>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</si>
  <si>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</si>
  <si>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</si>
  <si>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</si>
  <si>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</si>
  <si>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</si>
  <si>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</si>
  <si>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</si>
  <si>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</si>
  <si>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</si>
  <si>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</si>
  <si>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</si>
  <si>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</si>
  <si>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</si>
  <si>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</si>
  <si>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</si>
  <si>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</si>
  <si>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</si>
  <si>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</si>
  <si>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</si>
  <si>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</si>
  <si>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</si>
  <si>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</si>
  <si>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</si>
  <si>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</si>
  <si>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</si>
  <si>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</si>
  <si>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</si>
  <si>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</si>
  <si>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</si>
  <si>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</si>
  <si>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</si>
  <si>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</si>
  <si>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</si>
  <si>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</si>
  <si>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</si>
  <si>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</si>
  <si>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</si>
  <si>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</si>
  <si>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</si>
  <si>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</si>
  <si>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</si>
  <si>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</si>
  <si>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</si>
  <si>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</si>
  <si>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</si>
  <si>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</si>
  <si>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</si>
  <si>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</si>
  <si>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</si>
  <si>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</si>
  <si>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</si>
  <si>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</si>
  <si>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</si>
  <si>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</si>
  <si>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</si>
  <si>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</si>
  <si>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</si>
  <si>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</si>
  <si>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</si>
  <si>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</si>
  <si>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</si>
  <si>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</si>
  <si>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</si>
  <si>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</si>
  <si>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</si>
  <si>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</si>
  <si>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</si>
  <si>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</si>
  <si>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</si>
  <si>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</si>
  <si>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</si>
  <si>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</si>
  <si>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</si>
  <si>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</si>
  <si>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</si>
  <si>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</si>
  <si>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</si>
  <si>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</si>
  <si>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</si>
  <si>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</si>
  <si>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</si>
  <si>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</si>
  <si>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</si>
  <si>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</si>
  <si>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</si>
  <si>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</si>
  <si>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</si>
  <si>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</si>
  <si>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</si>
  <si>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</si>
  <si>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</si>
  <si>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</si>
  <si>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</si>
  <si>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</si>
  <si>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</si>
  <si>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</si>
  <si>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</si>
  <si>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</si>
  <si>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</si>
  <si>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</si>
  <si>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</si>
  <si>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</si>
  <si>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</si>
  <si>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</si>
  <si>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</si>
  <si>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</si>
  <si>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</si>
  <si>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</si>
  <si>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</si>
  <si>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</si>
  <si>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</si>
  <si>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</si>
  <si>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</si>
  <si>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</si>
  <si>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</si>
  <si>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</si>
  <si>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</si>
  <si>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</si>
  <si>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</si>
  <si>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</si>
  <si>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</si>
  <si>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</si>
  <si>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</si>
  <si>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</si>
  <si>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</si>
  <si>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</si>
  <si>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</si>
  <si>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</si>
  <si>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</si>
  <si>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</si>
  <si>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</si>
  <si>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</si>
  <si>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</si>
  <si>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</si>
  <si>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</si>
  <si>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</si>
  <si>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</si>
  <si>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</si>
  <si>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</si>
  <si>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</si>
  <si>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</si>
  <si>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</si>
  <si>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</si>
  <si>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</si>
  <si>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</si>
  <si>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</si>
  <si>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</si>
  <si>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</si>
  <si>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</si>
  <si>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</si>
  <si>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</si>
  <si>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</si>
  <si>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</si>
  <si>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</si>
  <si>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</si>
  <si>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</si>
  <si>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</si>
  <si>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</si>
  <si>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</si>
  <si>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</si>
  <si>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</si>
  <si>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</si>
  <si>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</si>
  <si>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</si>
  <si>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</si>
  <si>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</si>
  <si>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</si>
  <si>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</si>
  <si>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</si>
  <si>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</si>
  <si>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</si>
  <si>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</si>
  <si>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</si>
  <si>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</si>
  <si>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</si>
  <si>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</si>
  <si>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</si>
  <si>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</si>
  <si>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</si>
  <si>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</si>
  <si>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</si>
  <si>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</si>
  <si>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</si>
  <si>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</si>
  <si>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</si>
  <si>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</si>
  <si>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</si>
  <si>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</si>
  <si>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</si>
  <si>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</si>
  <si>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</si>
  <si>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</si>
  <si>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</si>
  <si>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</si>
  <si>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</si>
  <si>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</si>
  <si>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</si>
  <si>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</si>
  <si>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</si>
  <si>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</si>
  <si>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</si>
  <si>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</si>
  <si>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</si>
  <si>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</si>
  <si>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</si>
  <si>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</si>
  <si>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</si>
  <si>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</si>
  <si>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</si>
  <si>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</si>
  <si>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</si>
  <si>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</si>
  <si>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</si>
  <si>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</si>
  <si>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</si>
  <si>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</si>
  <si>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</si>
  <si>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</si>
  <si>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</si>
  <si>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</si>
  <si>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</si>
  <si>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</si>
  <si>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</si>
  <si>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</si>
  <si>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</si>
  <si>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</si>
  <si>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</si>
  <si>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</si>
  <si>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</si>
  <si>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</si>
  <si>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</si>
  <si>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</si>
  <si>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</si>
  <si>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</si>
  <si>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</si>
  <si>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</si>
  <si>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</si>
  <si>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</si>
  <si>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</si>
  <si>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</si>
  <si>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</si>
  <si>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</si>
  <si>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</si>
  <si>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</si>
  <si>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</si>
  <si>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</si>
  <si>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</si>
  <si>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</si>
  <si>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</si>
  <si>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</si>
  <si>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</si>
  <si>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</si>
  <si>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</si>
  <si>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</si>
  <si>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</si>
  <si>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</si>
  <si>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</si>
  <si>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</si>
  <si>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</si>
  <si>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</si>
  <si>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</si>
  <si>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</si>
  <si>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</si>
  <si>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</si>
  <si>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</si>
  <si>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</si>
  <si>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</si>
  <si>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</si>
  <si>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</si>
  <si>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</si>
  <si>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</si>
  <si>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</si>
  <si>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</si>
  <si>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</si>
  <si>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</si>
  <si>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</si>
  <si>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</si>
  <si>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</si>
  <si>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</si>
  <si>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</si>
  <si>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</si>
  <si>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</si>
  <si>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</si>
  <si>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</si>
  <si>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</si>
  <si>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</si>
  <si>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</si>
  <si>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</si>
  <si>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</si>
  <si>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</si>
  <si>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</si>
  <si>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</si>
  <si>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</si>
  <si>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</si>
  <si>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</si>
  <si>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</si>
  <si>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</si>
  <si>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</si>
  <si>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</si>
  <si>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</si>
  <si>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</si>
  <si>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</si>
  <si>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</si>
  <si>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</si>
  <si>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</si>
  <si>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</si>
  <si>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</si>
  <si>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</si>
  <si>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</si>
  <si>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</si>
  <si>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</si>
  <si>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</si>
  <si>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</si>
  <si>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</si>
  <si>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</si>
  <si>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</si>
  <si>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</si>
  <si>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</si>
  <si>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</si>
  <si>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</si>
  <si>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</si>
  <si>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</si>
  <si>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</si>
  <si>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</si>
  <si>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</si>
  <si>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</si>
  <si>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</si>
  <si>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</si>
  <si>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</si>
  <si>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</si>
  <si>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</si>
  <si>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</si>
  <si>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</si>
  <si>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</si>
  <si>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</si>
  <si>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</si>
  <si>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</si>
  <si>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</si>
  <si>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</si>
  <si>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</si>
  <si>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</si>
  <si>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</si>
  <si>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</si>
  <si>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</si>
  <si>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</si>
  <si>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</si>
  <si>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</si>
  <si>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</si>
  <si>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</si>
  <si>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</si>
  <si>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</si>
  <si>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</si>
  <si>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</si>
  <si>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</si>
  <si>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</si>
  <si>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</si>
  <si>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</si>
  <si>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</si>
  <si>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</si>
  <si>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</si>
  <si>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</si>
  <si>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</si>
  <si>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</si>
  <si>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</si>
  <si>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</si>
  <si>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</si>
  <si>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</si>
  <si>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</si>
  <si>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</si>
  <si>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</si>
  <si>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</si>
  <si>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</si>
  <si>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</si>
  <si>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</si>
  <si>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</si>
  <si>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</si>
  <si>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</si>
  <si>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</si>
  <si>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</si>
  <si>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</si>
  <si>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</si>
  <si>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</si>
  <si>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</si>
  <si>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</si>
  <si>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</si>
  <si>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</si>
  <si>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</si>
  <si>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</si>
  <si>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</si>
  <si>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</si>
  <si>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</si>
  <si>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</si>
  <si>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</si>
  <si>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</si>
  <si>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</si>
  <si>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</si>
  <si>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</si>
  <si>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</si>
  <si>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</si>
  <si>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</si>
  <si>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</si>
  <si>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</si>
  <si>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</si>
  <si>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</si>
  <si>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</si>
  <si>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</si>
  <si>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</si>
  <si>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</si>
  <si>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</si>
  <si>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</si>
  <si>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</si>
  <si>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</si>
  <si>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</si>
  <si>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</si>
  <si>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</si>
  <si>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</si>
  <si>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</si>
  <si>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</si>
  <si>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</si>
  <si>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</si>
  <si>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</si>
  <si>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</si>
  <si>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</si>
  <si>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</si>
  <si>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</si>
  <si>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</si>
  <si>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</si>
  <si>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</si>
  <si>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</si>
  <si>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</si>
  <si>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</si>
  <si>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</si>
  <si>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</si>
  <si>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</si>
  <si>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</si>
  <si>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</si>
  <si>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</si>
  <si>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</si>
  <si>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</si>
  <si>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</si>
  <si>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</si>
  <si>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</si>
  <si>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</si>
  <si>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</si>
  <si>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</si>
  <si>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</si>
  <si>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</si>
  <si>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</si>
  <si>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</si>
  <si>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</si>
  <si>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</si>
  <si>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</si>
  <si>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</si>
  <si>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</si>
  <si>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</si>
  <si>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</si>
  <si>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</si>
  <si>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</si>
  <si>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</si>
  <si>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</si>
  <si>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</si>
  <si>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</si>
  <si>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</si>
  <si>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</si>
  <si>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</si>
  <si>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</si>
  <si>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</si>
  <si>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</si>
  <si>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</si>
  <si>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</si>
  <si>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</si>
  <si>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</si>
  <si>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</si>
  <si>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</si>
  <si>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</si>
  <si>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</si>
  <si>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</si>
  <si>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</si>
  <si>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</si>
  <si>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</si>
  <si>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</si>
  <si>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</si>
  <si>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</si>
  <si>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</si>
  <si>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</si>
  <si>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</si>
  <si>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</si>
  <si>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</si>
  <si>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</si>
  <si>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</si>
  <si>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</si>
  <si>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</si>
  <si>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</si>
  <si>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</si>
  <si>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</si>
  <si>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</si>
  <si>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</si>
  <si>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</si>
  <si>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</si>
  <si>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</si>
  <si>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</si>
  <si>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</si>
  <si>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</si>
  <si>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</si>
  <si>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</si>
  <si>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</si>
  <si>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</si>
  <si>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</si>
  <si>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</si>
  <si>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</si>
  <si>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</si>
  <si>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</si>
  <si>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</si>
  <si>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</si>
  <si>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</si>
  <si>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</si>
  <si>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</si>
  <si>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</si>
  <si>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</si>
  <si>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</si>
  <si>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</si>
  <si>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</si>
  <si>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</si>
  <si>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</si>
  <si>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</si>
  <si>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</si>
  <si>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</si>
  <si>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</si>
  <si>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</si>
  <si>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</si>
  <si>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</si>
  <si>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</si>
  <si>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</si>
  <si>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</si>
  <si>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</si>
  <si>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</si>
  <si>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</si>
  <si>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</si>
  <si>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</si>
  <si>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</si>
  <si>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</si>
  <si>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</si>
  <si>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</si>
  <si>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</si>
  <si>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</si>
  <si>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</si>
  <si>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</si>
  <si>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</si>
  <si>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</si>
  <si>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</si>
  <si>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</si>
  <si>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</si>
  <si>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</si>
  <si>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</si>
  <si>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</si>
  <si>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</si>
  <si>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</si>
  <si>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</si>
  <si>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</si>
  <si>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</si>
  <si>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</si>
  <si>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</si>
  <si>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</si>
  <si>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</si>
  <si>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</si>
  <si>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</si>
  <si>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</si>
  <si>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</si>
  <si>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</si>
  <si>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</si>
  <si>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</si>
  <si>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</si>
  <si>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</si>
  <si>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</si>
  <si>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</si>
  <si>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</si>
  <si>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</si>
  <si>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</si>
  <si>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</si>
  <si>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</si>
  <si>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</si>
  <si>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</si>
  <si>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</si>
  <si>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</si>
  <si>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</si>
  <si>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</si>
  <si>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</si>
  <si>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</si>
  <si>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</si>
  <si>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</si>
  <si>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</si>
  <si>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</si>
  <si>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</si>
  <si>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</si>
  <si>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</si>
  <si>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</si>
  <si>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</si>
  <si>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</si>
  <si>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</si>
  <si>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</si>
  <si>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</si>
  <si>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</si>
  <si>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</si>
  <si>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</si>
  <si>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</si>
  <si>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</si>
  <si>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</si>
  <si>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</si>
  <si>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</si>
  <si>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</si>
  <si>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</si>
  <si>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</si>
  <si>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</si>
  <si>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</si>
  <si>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</si>
  <si>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</si>
  <si>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</si>
  <si>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</si>
  <si>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</si>
  <si>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</si>
  <si>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</si>
  <si>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</si>
  <si>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</si>
  <si>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</si>
  <si>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</si>
  <si>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</si>
  <si>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</si>
  <si>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</si>
  <si>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</si>
  <si>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</si>
  <si>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</si>
  <si>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</si>
  <si>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</si>
  <si>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</si>
  <si>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</si>
  <si>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</si>
  <si>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</si>
  <si>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</si>
  <si>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</si>
  <si>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</si>
  <si>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</si>
  <si>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</si>
  <si>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</si>
  <si>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</si>
  <si>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</si>
  <si>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</si>
  <si>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</si>
  <si>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</si>
  <si>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</si>
  <si>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</si>
  <si>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</si>
  <si>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</si>
  <si>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</si>
  <si>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</si>
  <si>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</si>
  <si>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</si>
  <si>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</si>
  <si>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</si>
  <si>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</si>
  <si>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</si>
  <si>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</si>
  <si>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</si>
  <si>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</si>
  <si>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</si>
  <si>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</si>
  <si>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</si>
  <si>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</si>
  <si>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</si>
  <si>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</si>
  <si>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</si>
  <si>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</si>
  <si>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</si>
  <si>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</si>
  <si>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</si>
  <si>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</si>
  <si>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</si>
  <si>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</si>
  <si>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</si>
  <si>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</si>
  <si>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</si>
  <si>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</si>
  <si>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</si>
  <si>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</si>
  <si>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</si>
  <si>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</si>
  <si>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</si>
  <si>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</si>
  <si>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</si>
  <si>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</si>
  <si>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</si>
  <si>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</si>
  <si>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</si>
  <si>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</si>
  <si>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</si>
  <si>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</si>
  <si>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</si>
  <si>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</si>
  <si>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</si>
  <si>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</si>
  <si>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</si>
  <si>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</si>
  <si>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</si>
  <si>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</si>
  <si>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</si>
  <si>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</si>
  <si>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</si>
  <si>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</si>
  <si>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</si>
  <si>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</si>
  <si>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</si>
  <si>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</si>
  <si>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</si>
  <si>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</si>
  <si>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</si>
  <si>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</si>
  <si>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</si>
  <si>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</si>
  <si>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</si>
  <si>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</si>
  <si>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</si>
  <si>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</si>
  <si>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</si>
  <si>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</si>
  <si>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</si>
  <si>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</si>
  <si>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</si>
  <si>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</si>
  <si>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</si>
  <si>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</si>
  <si>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</si>
  <si>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</si>
  <si>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</si>
  <si>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</si>
  <si>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</si>
  <si>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</si>
  <si>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</si>
  <si>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</si>
  <si>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</si>
  <si>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</si>
  <si>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</si>
  <si>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</si>
  <si>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</si>
  <si>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</si>
  <si>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</si>
  <si>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</si>
  <si>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</si>
  <si>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</si>
  <si>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</si>
  <si>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</si>
  <si>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</si>
  <si>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</si>
  <si>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</si>
  <si>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</si>
  <si>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</si>
  <si>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</si>
  <si>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</si>
  <si>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</si>
  <si>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</si>
  <si>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</si>
  <si>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</si>
  <si>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</si>
  <si>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</si>
  <si>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</si>
  <si>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</si>
  <si>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</si>
  <si>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</si>
  <si>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</si>
  <si>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</si>
  <si>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</si>
  <si>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</si>
  <si>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</si>
  <si>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</si>
  <si>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</si>
  <si>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</si>
  <si>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</si>
  <si>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</si>
  <si>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</si>
  <si>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</si>
  <si>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</si>
  <si>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</si>
  <si>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</si>
  <si>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</si>
  <si>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</si>
  <si>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</si>
  <si>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</si>
  <si>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</si>
  <si>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</si>
  <si>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</si>
  <si>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</si>
  <si>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</si>
  <si>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</si>
  <si>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</si>
  <si>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</si>
  <si>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</si>
  <si>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</si>
  <si>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</si>
  <si>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</si>
  <si>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</si>
  <si>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</si>
  <si>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</si>
  <si>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</si>
  <si>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</si>
  <si>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</si>
  <si>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</si>
  <si>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</si>
  <si>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</si>
  <si>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</si>
  <si>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</si>
  <si>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</si>
  <si>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</si>
  <si>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</si>
  <si>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</si>
  <si>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</si>
  <si>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</si>
  <si>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</si>
  <si>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</si>
  <si>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</si>
  <si>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</si>
  <si>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</si>
  <si>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</si>
  <si>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</si>
  <si>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</si>
  <si>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</si>
  <si>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</si>
  <si>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</si>
  <si>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</si>
  <si>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</si>
  <si>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</si>
  <si>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</si>
  <si>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</si>
  <si>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</si>
  <si>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</si>
  <si>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</si>
  <si>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</si>
  <si>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</si>
  <si>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</si>
  <si>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</si>
  <si>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</si>
  <si>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</si>
  <si>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</si>
  <si>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</si>
  <si>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</si>
  <si>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</si>
  <si>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</si>
  <si>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</si>
  <si>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</si>
  <si>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</si>
  <si>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</si>
  <si>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</si>
  <si>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</si>
  <si>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</si>
  <si>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</si>
  <si>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</si>
  <si>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</si>
  <si>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</si>
  <si>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</si>
  <si>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</si>
  <si>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</si>
  <si>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</si>
  <si>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</si>
  <si>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</si>
  <si>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</si>
  <si>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</si>
  <si>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</si>
  <si>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</si>
  <si>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</si>
  <si>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</si>
  <si>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</si>
  <si>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</si>
  <si>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</si>
  <si>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</si>
  <si>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</si>
  <si>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</si>
  <si>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</si>
  <si>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</si>
  <si>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</si>
  <si>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</si>
  <si>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</si>
  <si>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</si>
  <si>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</si>
  <si>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</si>
  <si>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</si>
  <si>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</si>
  <si>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</si>
  <si>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</si>
  <si>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</si>
  <si>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</si>
  <si>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</si>
  <si>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</si>
  <si>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</si>
  <si>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</si>
  <si>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</si>
  <si>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</si>
  <si>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</si>
  <si>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</si>
  <si>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</si>
  <si>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</si>
  <si>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</si>
  <si>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</si>
  <si>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</si>
  <si>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</si>
  <si>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</si>
  <si>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</si>
  <si>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</si>
  <si>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</si>
  <si>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</si>
  <si>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</si>
  <si>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</si>
  <si>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</si>
  <si>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</si>
  <si>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</si>
  <si>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</si>
  <si>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</si>
  <si>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</si>
  <si>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</si>
  <si>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</si>
  <si>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</si>
  <si>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</si>
  <si>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</si>
  <si>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</si>
  <si>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</si>
  <si>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</si>
  <si>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</si>
  <si>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</si>
  <si>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</si>
  <si>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</si>
  <si>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</si>
  <si>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</si>
  <si>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</si>
  <si>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</si>
  <si>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</si>
  <si>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</si>
  <si>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</si>
  <si>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</si>
  <si>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</si>
  <si>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</si>
  <si>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</si>
  <si>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</si>
  <si>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</si>
  <si>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</si>
  <si>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</si>
  <si>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</si>
  <si>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</si>
  <si>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</si>
  <si>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</si>
  <si>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</si>
  <si>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</si>
  <si>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</si>
  <si>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</si>
  <si>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</si>
  <si>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</si>
  <si>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</si>
  <si>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</si>
  <si>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</si>
  <si>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</si>
  <si>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</si>
  <si>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</si>
  <si>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</si>
  <si>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</si>
  <si>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</si>
  <si>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</si>
  <si>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</si>
  <si>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</si>
  <si>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</si>
  <si>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</si>
  <si>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</si>
  <si>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</si>
  <si>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</si>
  <si>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</si>
  <si>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</si>
  <si>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</si>
  <si>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</si>
  <si>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</si>
  <si>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</si>
  <si>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</si>
  <si>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</si>
  <si>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</si>
  <si>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</si>
  <si>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</si>
  <si>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</si>
  <si>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</si>
  <si>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</si>
  <si>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</si>
  <si>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</si>
  <si>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</si>
  <si>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</si>
  <si>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</si>
  <si>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</si>
  <si>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</si>
  <si>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</si>
  <si>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</si>
  <si>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</si>
  <si>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</si>
  <si>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</si>
  <si>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</si>
  <si>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</si>
  <si>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</si>
  <si>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</si>
  <si>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</si>
  <si>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</si>
  <si>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</si>
  <si>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</si>
  <si>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</si>
  <si>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</si>
  <si>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</si>
  <si>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</si>
  <si>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</si>
  <si>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</si>
  <si>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</si>
  <si>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</si>
  <si>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</si>
  <si>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</si>
  <si>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</si>
  <si>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</si>
  <si>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</si>
  <si>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</si>
  <si>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</si>
  <si>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</si>
  <si>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</si>
  <si>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</si>
  <si>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</si>
  <si>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</si>
  <si>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</si>
  <si>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</si>
  <si>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</si>
  <si>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</si>
  <si>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</si>
  <si>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</si>
  <si>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</si>
  <si>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</si>
  <si>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</si>
  <si>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</si>
  <si>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</si>
  <si>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</si>
  <si>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</si>
  <si>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</si>
  <si>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</si>
  <si>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</si>
  <si>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</si>
  <si>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</si>
  <si>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</si>
  <si>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</si>
  <si>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</si>
  <si>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</si>
  <si>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</si>
  <si>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</si>
  <si>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</si>
  <si>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</si>
  <si>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</si>
  <si>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</si>
  <si>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</si>
  <si>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</si>
  <si>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</si>
  <si>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</si>
  <si>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</si>
  <si>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</si>
  <si>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</si>
  <si>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</si>
  <si>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</si>
  <si>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</si>
  <si>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</si>
  <si>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</si>
  <si>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</si>
  <si>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</si>
  <si>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</si>
  <si>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</si>
  <si>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</si>
  <si>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</si>
  <si>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</si>
  <si>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</si>
  <si>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</si>
  <si>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</si>
  <si>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</si>
  <si>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</si>
  <si>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</si>
  <si>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</si>
  <si>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</si>
  <si>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</si>
  <si>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</si>
  <si>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</si>
  <si>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</si>
  <si>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</si>
  <si>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</si>
  <si>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</si>
  <si>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</si>
  <si>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</si>
  <si>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</si>
  <si>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</si>
  <si>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</si>
  <si>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</si>
  <si>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</si>
  <si>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</si>
  <si>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</si>
  <si>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</si>
  <si>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</si>
  <si>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</si>
  <si>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</si>
  <si>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</si>
  <si>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</si>
  <si>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</si>
  <si>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</si>
  <si>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</si>
  <si>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</si>
  <si>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</si>
  <si>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</si>
  <si>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</si>
  <si>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</si>
  <si>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</si>
  <si>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</si>
  <si>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</si>
  <si>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</si>
  <si>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</si>
  <si>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</si>
  <si>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</si>
  <si>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</si>
  <si>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</si>
  <si>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</si>
  <si>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</si>
  <si>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</si>
  <si>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</si>
  <si>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</si>
  <si>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</si>
  <si>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</si>
  <si>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</si>
  <si>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</si>
  <si>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</si>
  <si>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</si>
  <si>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</si>
  <si>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</si>
  <si>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</si>
  <si>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</si>
  <si>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</si>
  <si>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</si>
  <si>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</si>
  <si>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</si>
  <si>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</si>
  <si>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</si>
  <si>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</si>
  <si>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</si>
  <si>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</si>
  <si>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</si>
  <si>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</si>
  <si>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</si>
  <si>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</si>
  <si>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</si>
  <si>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</si>
  <si>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</si>
  <si>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</si>
  <si>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</si>
  <si>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</si>
  <si>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</si>
  <si>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</si>
  <si>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</si>
  <si>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</si>
  <si>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</si>
  <si>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</si>
  <si>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</si>
  <si>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</si>
  <si>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</si>
  <si>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</si>
  <si>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</si>
  <si>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</si>
  <si>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</si>
  <si>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</si>
  <si>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</si>
  <si>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</si>
  <si>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</si>
  <si>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</si>
  <si>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</si>
  <si>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</si>
  <si>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</si>
  <si>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</si>
  <si>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</si>
  <si>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</si>
  <si>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</si>
  <si>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</si>
  <si>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</si>
  <si>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</si>
  <si>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</si>
  <si>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</si>
  <si>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</si>
  <si>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</si>
  <si>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</si>
  <si>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</si>
  <si>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</si>
  <si>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</si>
  <si>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</si>
  <si>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</si>
  <si>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</si>
  <si>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</si>
  <si>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</si>
  <si>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</si>
  <si>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</si>
  <si>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</si>
  <si>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</si>
  <si>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</si>
  <si>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</si>
  <si>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</si>
  <si>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</si>
  <si>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</si>
  <si>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</si>
  <si>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</si>
  <si>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</si>
  <si>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</si>
  <si>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</si>
  <si>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</si>
  <si>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</si>
  <si>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</si>
  <si>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</si>
  <si>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</si>
  <si>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</si>
  <si>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</si>
  <si>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</si>
  <si>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</si>
  <si>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</si>
  <si>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</si>
  <si>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</si>
  <si>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</si>
  <si>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</si>
  <si>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</si>
  <si>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</si>
  <si>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</si>
  <si>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</si>
  <si>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</si>
  <si>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</si>
  <si>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</si>
  <si>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</si>
  <si>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</si>
  <si>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</si>
  <si>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</si>
  <si>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</si>
  <si>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</si>
  <si>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</si>
  <si>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</si>
  <si>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</si>
  <si>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</si>
  <si>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</si>
  <si>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</si>
  <si>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</si>
  <si>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</si>
  <si>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</si>
  <si>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</si>
  <si>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</si>
  <si>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</si>
  <si>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</si>
  <si>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</si>
  <si>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</si>
  <si>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</si>
  <si>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</si>
  <si>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</si>
  <si>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</si>
  <si>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</si>
  <si>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</si>
  <si>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</si>
  <si>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</si>
  <si>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</si>
  <si>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</si>
  <si>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</si>
  <si>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</si>
  <si>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</si>
  <si>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</si>
  <si>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</si>
  <si>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</si>
  <si>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</si>
  <si>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</si>
  <si>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</si>
  <si>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</si>
  <si>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</si>
  <si>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</si>
  <si>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</si>
  <si>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</si>
  <si>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</si>
  <si>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</si>
  <si>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</si>
  <si>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</si>
  <si>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</si>
  <si>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</si>
  <si>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</si>
  <si>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</si>
  <si>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</si>
  <si>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</si>
  <si>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</si>
  <si>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</si>
  <si>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</si>
  <si>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</si>
  <si>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</si>
  <si>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</si>
  <si>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</si>
  <si>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</si>
  <si>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</si>
  <si>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</si>
  <si>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</si>
  <si>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</si>
  <si>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</si>
  <si>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</si>
  <si>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</si>
  <si>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</si>
  <si>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</si>
  <si>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</si>
  <si>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</si>
  <si>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</si>
  <si>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</si>
  <si>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</si>
  <si>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</si>
  <si>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</si>
  <si>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</si>
  <si>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</si>
  <si>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</si>
  <si>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</si>
  <si>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</si>
  <si>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</si>
  <si>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</si>
  <si>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</si>
  <si>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</si>
  <si>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</si>
  <si>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</si>
  <si>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</si>
  <si>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</si>
  <si>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</si>
  <si>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</si>
  <si>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</si>
  <si>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</si>
  <si>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</si>
  <si>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</si>
  <si>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</si>
  <si>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</si>
  <si>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</si>
  <si>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</si>
  <si>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</si>
  <si>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</si>
  <si>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</si>
  <si>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</si>
  <si>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</si>
  <si>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</si>
  <si>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</si>
  <si>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</si>
  <si>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</si>
  <si>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</si>
  <si>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</si>
  <si>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</si>
  <si>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</si>
  <si>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</si>
  <si>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</si>
  <si>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</si>
  <si>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</si>
  <si>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</si>
  <si>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</si>
  <si>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</si>
  <si>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</si>
  <si>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</si>
  <si>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</si>
  <si>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</si>
  <si>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</si>
  <si>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</si>
  <si>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</si>
  <si>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</si>
  <si>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</si>
  <si>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</si>
  <si>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</si>
  <si>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</si>
  <si>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</si>
  <si>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</si>
  <si>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</si>
  <si>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</si>
  <si>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</si>
  <si>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</si>
  <si>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</si>
  <si>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</si>
  <si>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</si>
  <si>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</si>
  <si>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</si>
  <si>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</si>
  <si>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</si>
  <si>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</si>
  <si>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</si>
  <si>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</si>
  <si>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</si>
  <si>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</si>
  <si>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</si>
  <si>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</si>
  <si>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</si>
  <si>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</si>
  <si>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</si>
  <si>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</si>
  <si>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</si>
  <si>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</si>
  <si>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</si>
  <si>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</si>
  <si>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</si>
  <si>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</si>
  <si>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</si>
  <si>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</si>
  <si>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</si>
  <si>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</si>
  <si>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</si>
  <si>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</si>
  <si>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</si>
  <si>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</si>
  <si>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</si>
  <si>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</si>
  <si>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</si>
  <si>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</si>
  <si>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</si>
  <si>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</si>
  <si>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</si>
  <si>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</si>
  <si>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</si>
  <si>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</si>
  <si>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</si>
  <si>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</si>
  <si>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</si>
  <si>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</si>
  <si>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</si>
  <si>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</si>
  <si>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</si>
  <si>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</si>
  <si>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</si>
  <si>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</si>
  <si>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</si>
  <si>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</si>
  <si>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</si>
  <si>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</si>
  <si>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</si>
  <si>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</si>
  <si>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</si>
  <si>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</si>
  <si>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</si>
  <si>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</si>
  <si>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</si>
  <si>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</si>
  <si>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</si>
  <si>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</si>
  <si>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</si>
  <si>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</si>
  <si>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</si>
  <si>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</si>
  <si>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</si>
  <si>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</si>
  <si>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</si>
  <si>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</si>
  <si>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</si>
  <si>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</si>
  <si>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</si>
  <si>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</si>
  <si>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</si>
  <si>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</si>
  <si>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</si>
  <si>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</si>
  <si>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</si>
  <si>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</si>
  <si>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</si>
  <si>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</si>
  <si>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</si>
  <si>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</si>
  <si>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</si>
  <si>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</si>
  <si>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</si>
  <si>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</si>
  <si>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</si>
  <si>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</si>
  <si>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</si>
  <si>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</si>
  <si>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</si>
  <si>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</si>
  <si>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</si>
  <si>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</si>
  <si>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</si>
  <si>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</si>
  <si>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</si>
  <si>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</si>
  <si>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</si>
  <si>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</si>
  <si>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</si>
  <si>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</si>
  <si>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</si>
  <si>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</si>
  <si>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</si>
  <si>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</si>
  <si>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</si>
  <si>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</si>
  <si>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</si>
  <si>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</si>
  <si>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</si>
  <si>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</si>
  <si>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</si>
  <si>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</si>
  <si>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</si>
  <si>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</si>
  <si>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</si>
  <si>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</si>
  <si>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</si>
  <si>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</si>
  <si>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</si>
  <si>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</si>
  <si>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</si>
  <si>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</si>
  <si>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</si>
  <si>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</si>
  <si>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</si>
  <si>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</si>
  <si>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</si>
  <si>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</si>
  <si>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</si>
  <si>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</si>
  <si>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</si>
  <si>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</si>
  <si>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</si>
  <si>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</si>
  <si>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</si>
  <si>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</si>
  <si>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</si>
  <si>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</si>
  <si>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</si>
  <si>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</si>
  <si>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</si>
  <si>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</si>
  <si>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</si>
  <si>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</si>
  <si>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</si>
  <si>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</si>
  <si>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</si>
  <si>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</si>
  <si>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</si>
  <si>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</si>
  <si>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</si>
  <si>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</si>
  <si>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</si>
  <si>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</si>
  <si>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</si>
  <si>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</si>
  <si>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</si>
  <si>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</si>
  <si>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</si>
  <si>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</si>
  <si>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</si>
  <si>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</si>
  <si>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</si>
  <si>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</si>
  <si>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</si>
  <si>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</si>
  <si>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</si>
  <si>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</si>
  <si>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</si>
  <si>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</si>
  <si>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</si>
  <si>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</si>
  <si>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</si>
  <si>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</si>
  <si>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</si>
  <si>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</si>
  <si>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</si>
  <si>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</si>
  <si>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</si>
  <si>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</si>
  <si>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</si>
  <si>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</si>
  <si>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</si>
  <si>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</si>
  <si>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</si>
  <si>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</si>
  <si>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</si>
  <si>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</si>
  <si>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</si>
  <si>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</si>
  <si>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</si>
  <si>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</si>
  <si>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</si>
  <si>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</si>
  <si>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</si>
  <si>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</si>
  <si>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</si>
  <si>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</si>
  <si>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</si>
  <si>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</si>
  <si>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</si>
  <si>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</si>
  <si>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</si>
  <si>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</si>
  <si>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</si>
  <si>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</si>
  <si>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</si>
  <si>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</si>
  <si>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</si>
  <si>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</si>
  <si>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</si>
  <si>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</si>
  <si>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</si>
  <si>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</si>
  <si>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</si>
  <si>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</si>
  <si>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</si>
  <si>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</si>
  <si>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</si>
  <si>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</si>
  <si>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</si>
  <si>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</si>
  <si>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</si>
  <si>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</si>
  <si>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</si>
  <si>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</si>
  <si>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</si>
  <si>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</si>
  <si>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</si>
  <si>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</si>
  <si>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</si>
  <si>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</si>
  <si>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</si>
  <si>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</si>
  <si>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</si>
  <si>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</si>
  <si>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</si>
  <si>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</si>
  <si>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</si>
  <si>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</si>
  <si>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</si>
  <si>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</si>
  <si>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</si>
  <si>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</si>
  <si>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</si>
  <si>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</si>
  <si>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</si>
  <si>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</si>
  <si>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</si>
  <si>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</si>
  <si>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</si>
  <si>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</si>
  <si>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</si>
  <si>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</si>
  <si>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</si>
  <si>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</si>
  <si>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</si>
  <si>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</si>
  <si>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</si>
  <si>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</si>
  <si>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</si>
  <si>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</si>
  <si>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</si>
  <si>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</si>
  <si>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</si>
  <si>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</si>
  <si>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</si>
  <si>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</si>
  <si>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</si>
  <si>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</si>
  <si>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</si>
  <si>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</si>
  <si>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</si>
  <si>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</si>
  <si>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</si>
  <si>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</si>
  <si>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</si>
  <si>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</si>
  <si>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</si>
  <si>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</si>
  <si>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</si>
  <si>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</si>
  <si>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</si>
  <si>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</si>
  <si>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</si>
  <si>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</si>
  <si>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</si>
  <si>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</si>
  <si>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</si>
  <si>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</si>
  <si>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</si>
  <si>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</si>
  <si>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</si>
  <si>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</si>
  <si>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</si>
  <si>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</si>
  <si>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</si>
  <si>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</si>
  <si>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</si>
  <si>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</si>
  <si>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</si>
  <si>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</si>
  <si>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</si>
  <si>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</si>
  <si>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</si>
  <si>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</si>
  <si>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</si>
  <si>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</si>
  <si>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</si>
  <si>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</si>
  <si>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</si>
  <si>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</si>
  <si>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</si>
  <si>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</si>
  <si>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</si>
  <si>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</si>
  <si>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</si>
  <si>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</si>
  <si>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</si>
  <si>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</si>
  <si>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</si>
  <si>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</si>
  <si>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</si>
  <si>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</si>
  <si>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</si>
  <si>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</si>
  <si>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</si>
  <si>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</si>
  <si>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</si>
  <si>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</si>
  <si>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</si>
  <si>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</si>
  <si>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</si>
  <si>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</si>
  <si>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</si>
  <si>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</si>
  <si>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</si>
  <si>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</si>
  <si>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</si>
  <si>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</si>
  <si>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</si>
  <si>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</si>
  <si>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</si>
  <si>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</si>
  <si>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</si>
  <si>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</si>
  <si>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</si>
  <si>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</si>
  <si>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</si>
  <si>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</si>
  <si>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</si>
  <si>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</si>
  <si>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</si>
  <si>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</si>
  <si>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</si>
  <si>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</si>
  <si>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</si>
  <si>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</si>
  <si>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</si>
  <si>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</si>
  <si>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</si>
  <si>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</si>
  <si>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</si>
  <si>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</si>
  <si>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</si>
  <si>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</si>
  <si>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</si>
  <si>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</si>
  <si>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</si>
  <si>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</si>
  <si>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</si>
  <si>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</si>
  <si>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</si>
  <si>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</si>
  <si>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</si>
  <si>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</si>
  <si>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</si>
  <si>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</si>
  <si>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</si>
  <si>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</si>
  <si>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</si>
  <si>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</si>
  <si>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</si>
  <si>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</si>
  <si>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</si>
  <si>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</si>
  <si>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</si>
  <si>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</si>
  <si>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</si>
  <si>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</si>
  <si>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</si>
  <si>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</si>
  <si>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</si>
  <si>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</si>
  <si>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</si>
  <si>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</si>
  <si>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</si>
  <si>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</si>
  <si>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</si>
  <si>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</si>
  <si>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</si>
  <si>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</si>
  <si>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</si>
  <si>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</si>
  <si>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</si>
  <si>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</si>
  <si>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</si>
  <si>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</si>
  <si>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</si>
  <si>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</si>
  <si>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</si>
  <si>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</si>
  <si>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</si>
  <si>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</si>
  <si>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</si>
  <si>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</si>
  <si>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</si>
  <si>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</si>
  <si>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</si>
  <si>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</si>
  <si>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</si>
  <si>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</si>
  <si>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</si>
  <si>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</si>
  <si>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</si>
  <si>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</si>
  <si>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</si>
  <si>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</si>
  <si>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</si>
  <si>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</si>
  <si>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</si>
  <si>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</si>
  <si>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</si>
  <si>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</si>
  <si>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</si>
  <si>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</si>
  <si>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</si>
  <si>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</si>
  <si>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</si>
  <si>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</si>
  <si>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</si>
  <si>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</si>
  <si>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</si>
  <si>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</si>
  <si>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</si>
  <si>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</si>
  <si>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</si>
  <si>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</si>
  <si>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</si>
  <si>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</si>
  <si>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</si>
  <si>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</si>
  <si>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</si>
  <si>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</si>
  <si>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</si>
  <si>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</si>
  <si>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</si>
  <si>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</si>
  <si>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</si>
  <si>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</si>
  <si>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</si>
  <si>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</si>
  <si>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</si>
  <si>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</si>
  <si>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</si>
  <si>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</si>
  <si>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</si>
  <si>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</si>
  <si>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</si>
  <si>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</si>
  <si>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</si>
  <si>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</si>
  <si>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</si>
  <si>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</si>
  <si>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</si>
  <si>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</si>
  <si>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</si>
  <si>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</si>
  <si>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</si>
  <si>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</si>
  <si>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</si>
  <si>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</si>
  <si>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</si>
  <si>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</si>
  <si>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</si>
  <si>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</si>
  <si>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</si>
  <si>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</si>
  <si>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</si>
  <si>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</si>
  <si>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</si>
  <si>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</si>
  <si>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</si>
  <si>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</si>
  <si>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</si>
  <si>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</si>
  <si>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</si>
  <si>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</si>
  <si>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</si>
  <si>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</si>
  <si>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</si>
  <si>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</si>
  <si>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</si>
  <si>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</si>
  <si>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</si>
  <si>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</si>
  <si>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</si>
  <si>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</si>
  <si>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</si>
  <si>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</si>
  <si>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</si>
  <si>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</si>
  <si>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</si>
  <si>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</si>
  <si>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</si>
  <si>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</si>
  <si>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</si>
  <si>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</si>
  <si>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</si>
  <si>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</si>
  <si>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</si>
  <si>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</si>
  <si>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</si>
  <si>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</si>
  <si>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</si>
  <si>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</si>
  <si>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</si>
  <si>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</si>
  <si>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</si>
  <si>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</si>
  <si>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</si>
  <si>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</si>
  <si>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</si>
  <si>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</si>
  <si>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</si>
  <si>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</si>
  <si>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</si>
  <si>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</si>
  <si>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</si>
  <si>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</si>
  <si>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</si>
  <si>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</si>
  <si>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</si>
  <si>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</si>
  <si>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</si>
  <si>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</si>
  <si>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</si>
  <si>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</si>
  <si>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</si>
  <si>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</si>
  <si>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</si>
  <si>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</si>
  <si>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</si>
  <si>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</si>
  <si>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</si>
  <si>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</si>
  <si>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</si>
  <si>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</si>
  <si>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</si>
  <si>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</si>
  <si>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</si>
  <si>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</si>
  <si>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</si>
  <si>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</si>
  <si>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</si>
  <si>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</si>
  <si>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</si>
  <si>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</si>
  <si>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</si>
  <si>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</si>
  <si>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</si>
  <si>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</si>
  <si>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</si>
  <si>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</si>
  <si>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</si>
  <si>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</si>
  <si>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</si>
  <si>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</si>
  <si>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</si>
  <si>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</si>
  <si>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</si>
  <si>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</si>
  <si>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</si>
  <si>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</si>
  <si>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</si>
  <si>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</si>
  <si>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</si>
  <si>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</si>
  <si>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</si>
  <si>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</si>
  <si>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</si>
  <si>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</si>
  <si>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</si>
  <si>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</si>
  <si>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</si>
  <si>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</si>
  <si>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</si>
  <si>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</si>
  <si>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</si>
  <si>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</si>
  <si>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</si>
  <si>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</si>
  <si>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</si>
  <si>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</si>
  <si>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</si>
  <si>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</si>
  <si>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</si>
  <si>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</si>
  <si>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</si>
  <si>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</si>
  <si>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</si>
  <si>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</si>
  <si>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</si>
  <si>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</si>
  <si>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</si>
  <si>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</si>
  <si>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</si>
  <si>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</si>
  <si>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</si>
  <si>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</si>
  <si>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</si>
  <si>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</si>
  <si>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</si>
  <si>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</si>
  <si>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</si>
  <si>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</si>
  <si>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</si>
  <si>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</si>
  <si>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</si>
  <si>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</si>
  <si>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</si>
  <si>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</si>
  <si>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</si>
  <si>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</si>
  <si>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</si>
  <si>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</si>
  <si>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</si>
  <si>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</si>
  <si>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</si>
  <si>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</si>
  <si>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</si>
  <si>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</si>
  <si>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</si>
  <si>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</si>
  <si>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</si>
  <si>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</si>
  <si>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</si>
  <si>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</si>
  <si>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</si>
  <si>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</si>
  <si>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</si>
  <si>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</si>
  <si>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</si>
  <si>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</si>
  <si>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</si>
  <si>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</si>
  <si>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</si>
  <si>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</si>
  <si>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</si>
  <si>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</si>
  <si>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</si>
  <si>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</si>
  <si>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</si>
  <si>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</si>
  <si>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</si>
  <si>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</si>
  <si>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</si>
  <si>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</si>
  <si>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</si>
  <si>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</si>
  <si>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</si>
  <si>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</si>
  <si>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</si>
  <si>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</si>
  <si>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</si>
  <si>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</si>
  <si>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</si>
  <si>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</si>
  <si>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</si>
  <si>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</si>
  <si>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</si>
  <si>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</si>
  <si>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</si>
  <si>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</si>
  <si>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</si>
  <si>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</si>
  <si>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</si>
  <si>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</si>
  <si>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</si>
  <si>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</si>
  <si>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</si>
  <si>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</si>
  <si>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</si>
  <si>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</si>
  <si>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</si>
  <si>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</si>
  <si>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</si>
  <si>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</si>
  <si>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</si>
  <si>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</si>
  <si>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</si>
  <si>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</si>
  <si>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</si>
  <si>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</si>
  <si>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</si>
  <si>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</si>
  <si>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</si>
  <si>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</si>
  <si>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</si>
  <si>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</si>
  <si>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</si>
  <si>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</si>
  <si>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</si>
  <si>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</si>
  <si>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</si>
  <si>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</si>
  <si>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</si>
  <si>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</si>
  <si>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</si>
  <si>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</si>
  <si>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</si>
  <si>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</si>
  <si>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</si>
  <si>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</si>
  <si>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</si>
  <si>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</si>
  <si>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</si>
  <si>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</si>
  <si>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</si>
  <si>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</si>
  <si>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</si>
  <si>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</si>
  <si>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</si>
  <si>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</si>
  <si>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</si>
  <si>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</si>
  <si>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</si>
  <si>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</si>
  <si>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</si>
  <si>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</si>
  <si>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</si>
  <si>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</si>
  <si>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</si>
  <si>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</si>
  <si>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</si>
  <si>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</si>
  <si>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</si>
  <si>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</si>
  <si>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</si>
  <si>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</si>
  <si>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</si>
  <si>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</si>
  <si>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</si>
  <si>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</si>
  <si>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</si>
  <si>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</si>
  <si>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</si>
  <si>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</si>
  <si>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</si>
  <si>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</si>
  <si>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</si>
  <si>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</si>
  <si>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</si>
  <si>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</si>
  <si>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</si>
  <si>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</si>
  <si>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</si>
  <si>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</si>
  <si>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</si>
  <si>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</si>
  <si>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</si>
  <si>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</si>
  <si>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</si>
  <si>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</si>
  <si>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</si>
  <si>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</si>
  <si>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</si>
  <si>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</si>
  <si>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</si>
  <si>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</si>
  <si>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</si>
  <si>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</si>
  <si>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</si>
  <si>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</si>
  <si>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</si>
  <si>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</si>
  <si>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</si>
  <si>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</si>
  <si>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</si>
  <si>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</si>
  <si>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</si>
  <si>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</si>
  <si>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</si>
  <si>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</si>
  <si>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</si>
  <si>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</si>
  <si>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</si>
  <si>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</si>
  <si>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</si>
  <si>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</si>
  <si>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</si>
  <si>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</si>
  <si>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</si>
  <si>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</si>
  <si>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</si>
  <si>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</si>
  <si>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</si>
  <si>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</si>
  <si>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</si>
  <si>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</si>
  <si>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</si>
  <si>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</si>
  <si>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</si>
  <si>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</si>
  <si>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</si>
  <si>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</si>
  <si>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</si>
  <si>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</si>
  <si>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</si>
  <si>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</si>
  <si>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</si>
  <si>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</si>
  <si>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</si>
  <si>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</si>
  <si>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</si>
  <si>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</si>
  <si>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</si>
  <si>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</si>
  <si>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</si>
  <si>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</si>
  <si>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</si>
  <si>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</si>
  <si>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</si>
  <si>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</si>
  <si>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</si>
  <si>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</si>
  <si>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</si>
  <si>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</si>
  <si>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</si>
  <si>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</si>
  <si>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</si>
  <si>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</si>
  <si>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</si>
  <si>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</si>
  <si>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</si>
  <si>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</si>
  <si>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</si>
  <si>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</si>
  <si>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</si>
  <si>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</si>
  <si>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</si>
  <si>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</si>
  <si>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</si>
  <si>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</si>
  <si>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</si>
  <si>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</si>
  <si>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</si>
  <si>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</si>
  <si>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</si>
  <si>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</si>
  <si>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</si>
  <si>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</si>
  <si>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</si>
  <si>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</si>
  <si>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</si>
  <si>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</si>
  <si>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</si>
  <si>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</si>
  <si>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</si>
  <si>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</si>
  <si>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</si>
  <si>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</si>
  <si>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</si>
  <si>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</si>
  <si>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</si>
  <si>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</si>
  <si>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</si>
  <si>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</si>
  <si>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</si>
  <si>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</si>
  <si>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</si>
  <si>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</si>
  <si>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</si>
  <si>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</si>
  <si>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</si>
  <si>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</si>
  <si>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</si>
  <si>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</si>
  <si>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</si>
  <si>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</si>
  <si>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</si>
  <si>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</si>
  <si>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</si>
  <si>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</si>
  <si>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</si>
  <si>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</si>
  <si>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</si>
  <si>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</si>
  <si>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</si>
  <si>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</si>
  <si>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</si>
  <si>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</si>
  <si>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</si>
  <si>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</si>
  <si>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</si>
  <si>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</si>
  <si>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</si>
  <si>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</si>
  <si>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</si>
  <si>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</si>
  <si>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</si>
  <si>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</si>
  <si>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</si>
  <si>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</si>
  <si>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</si>
  <si>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</si>
  <si>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</si>
  <si>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</si>
  <si>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</si>
  <si>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</si>
  <si>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</si>
  <si>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</si>
  <si>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</si>
  <si>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</si>
  <si>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</si>
  <si>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</si>
  <si>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</si>
  <si>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</si>
  <si>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</si>
  <si>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</si>
  <si>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</si>
  <si>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</si>
  <si>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</si>
  <si>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</si>
  <si>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</si>
  <si>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</si>
  <si>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</si>
  <si>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</si>
  <si>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</si>
  <si>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</si>
  <si>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</si>
  <si>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</si>
  <si>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</si>
  <si>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</si>
  <si>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</si>
  <si>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</si>
  <si>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</si>
  <si>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</si>
  <si>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</si>
  <si>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</si>
  <si>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</si>
  <si>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</si>
  <si>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</si>
  <si>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</si>
  <si>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</si>
  <si>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</si>
  <si>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</si>
  <si>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</si>
  <si>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</si>
  <si>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</si>
  <si>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</si>
  <si>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</si>
  <si>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</si>
  <si>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</si>
  <si>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</si>
  <si>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</si>
  <si>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</si>
  <si>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</si>
  <si>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</si>
  <si>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</si>
  <si>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</si>
  <si>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</si>
  <si>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</si>
  <si>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</si>
  <si>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</si>
  <si>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</si>
  <si>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</si>
  <si>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</si>
  <si>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</si>
  <si>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</si>
  <si>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</si>
  <si>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</si>
  <si>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</si>
  <si>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</si>
  <si>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</si>
  <si>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</si>
  <si>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</si>
  <si>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</si>
  <si>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</si>
  <si>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</si>
  <si>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</si>
  <si>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</si>
  <si>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</si>
  <si>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</si>
  <si>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</si>
  <si>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</si>
  <si>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</si>
  <si>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</si>
  <si>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</si>
  <si>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</si>
  <si>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</si>
  <si>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</si>
  <si>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</si>
  <si>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</si>
  <si>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</si>
  <si>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</si>
  <si>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</si>
  <si>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</si>
  <si>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</si>
  <si>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</si>
  <si>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</si>
  <si>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</si>
  <si>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</si>
  <si>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</si>
  <si>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</si>
  <si>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</si>
  <si>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</si>
  <si>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</si>
  <si>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</si>
  <si>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</si>
  <si>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</si>
  <si>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</si>
  <si>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</si>
  <si>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</si>
  <si>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</si>
  <si>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</si>
  <si>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</si>
  <si>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</si>
  <si>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</si>
  <si>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</si>
  <si>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</si>
  <si>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</si>
  <si>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</si>
  <si>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</si>
  <si>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</si>
  <si>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</si>
  <si>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</si>
  <si>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</si>
  <si>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</si>
  <si>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</si>
  <si>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</si>
  <si>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</si>
  <si>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</si>
  <si>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</si>
  <si>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</si>
  <si>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</si>
  <si>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</si>
  <si>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</si>
  <si>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</si>
  <si>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</si>
  <si>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</si>
  <si>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</si>
  <si>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</si>
  <si>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</si>
  <si>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</si>
  <si>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</si>
  <si>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</si>
  <si>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</si>
  <si>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</si>
  <si>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</si>
  <si>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</si>
  <si>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</si>
  <si>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</si>
  <si>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</si>
  <si>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</si>
  <si>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</si>
  <si>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</si>
  <si>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</si>
  <si>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</si>
  <si>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</si>
  <si>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</si>
  <si>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</si>
  <si>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</si>
  <si>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</si>
  <si>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</si>
  <si>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</si>
  <si>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</si>
  <si>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</si>
  <si>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</si>
  <si>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</si>
  <si>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</si>
  <si>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</si>
  <si>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</si>
  <si>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</si>
  <si>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</si>
  <si>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</si>
  <si>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</si>
  <si>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</si>
  <si>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</si>
  <si>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</si>
  <si>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</si>
  <si>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</si>
  <si>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</si>
  <si>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</si>
  <si>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</si>
  <si>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</si>
  <si>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</si>
  <si>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</si>
  <si>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</si>
  <si>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</si>
  <si>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</si>
  <si>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</si>
  <si>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</si>
  <si>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</si>
  <si>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</si>
  <si>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</si>
  <si>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</si>
  <si>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</si>
  <si>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</si>
  <si>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</si>
  <si>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</si>
  <si>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</si>
  <si>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</si>
  <si>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</si>
  <si>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</si>
  <si>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</si>
  <si>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</si>
  <si>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</si>
  <si>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</si>
  <si>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</si>
  <si>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</si>
  <si>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</si>
  <si>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</si>
  <si>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</si>
  <si>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</si>
  <si>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</si>
  <si>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</si>
  <si>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</si>
  <si>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</si>
  <si>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</si>
  <si>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</si>
  <si>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</si>
  <si>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</si>
  <si>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</si>
  <si>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</si>
  <si>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</si>
  <si>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</si>
  <si>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</si>
  <si>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</si>
  <si>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</si>
  <si>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</si>
  <si>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</si>
  <si>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</si>
  <si>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</si>
  <si>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</si>
  <si>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</si>
  <si>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</si>
  <si>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</si>
  <si>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</si>
  <si>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</si>
  <si>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</si>
  <si>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</si>
  <si>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</si>
  <si>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</si>
  <si>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</si>
  <si>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</si>
  <si>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</si>
  <si>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</si>
  <si>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</si>
  <si>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</si>
  <si>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</si>
  <si>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</si>
  <si>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</si>
  <si>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</si>
  <si>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</si>
  <si>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</si>
  <si>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</si>
  <si>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</si>
  <si>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</si>
  <si>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</si>
  <si>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</si>
  <si>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</si>
  <si>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</si>
  <si>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</si>
  <si>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</si>
  <si>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</si>
  <si>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</si>
  <si>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</si>
  <si>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</si>
  <si>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</si>
  <si>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</si>
  <si>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</si>
  <si>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</si>
  <si>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</si>
  <si>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</si>
  <si>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</si>
  <si>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</si>
  <si>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</si>
  <si>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</si>
  <si>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</si>
  <si>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</si>
  <si>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</si>
  <si>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</si>
  <si>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</si>
  <si>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</si>
  <si>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</si>
  <si>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</si>
  <si>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</si>
  <si>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</si>
  <si>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</si>
  <si>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</si>
  <si>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</si>
  <si>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</si>
  <si>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</si>
  <si>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</si>
  <si>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</si>
  <si>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</si>
  <si>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</si>
  <si>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</si>
  <si>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</si>
  <si>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</si>
  <si>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</si>
  <si>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</si>
  <si>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</si>
  <si>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</si>
  <si>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</si>
  <si>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</si>
  <si>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</si>
  <si>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</si>
  <si>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</si>
  <si>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</si>
  <si>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</si>
  <si>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</si>
  <si>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</si>
  <si>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</si>
  <si>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</si>
  <si>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</si>
  <si>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</si>
  <si>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</si>
  <si>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</si>
  <si>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</si>
  <si>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</si>
  <si>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</si>
  <si>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</si>
  <si>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</si>
  <si>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</si>
  <si>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</si>
  <si>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</si>
  <si>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</si>
  <si>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</si>
  <si>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</si>
  <si>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</si>
  <si>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</si>
  <si>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</si>
  <si>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</si>
  <si>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</si>
  <si>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</si>
  <si>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</si>
  <si>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</si>
  <si>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</si>
  <si>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</si>
  <si>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</si>
  <si>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</si>
  <si>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</si>
  <si>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</si>
  <si>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</si>
  <si>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</si>
  <si>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</si>
  <si>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</si>
  <si>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</si>
  <si>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</si>
  <si>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</si>
  <si>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</si>
  <si>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</si>
  <si>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</si>
  <si>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</si>
  <si>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</si>
  <si>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</si>
  <si>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</si>
  <si>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</si>
  <si>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</si>
  <si>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</si>
  <si>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</si>
  <si>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</si>
  <si>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</si>
  <si>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</si>
  <si>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</si>
  <si>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</si>
  <si>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</si>
  <si>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</si>
  <si>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</si>
  <si>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</si>
  <si>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</si>
  <si>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</si>
  <si>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</si>
  <si>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</si>
  <si>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</si>
  <si>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</si>
  <si>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</si>
  <si>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</si>
  <si>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</si>
  <si>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</si>
  <si>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</si>
  <si>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</si>
  <si>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</si>
  <si>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</si>
  <si>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</si>
  <si>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</si>
  <si>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</si>
  <si>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</si>
  <si>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</si>
  <si>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</si>
  <si>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</si>
  <si>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</si>
  <si>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</si>
  <si>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</si>
  <si>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</si>
  <si>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</si>
  <si>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</si>
  <si>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</si>
  <si>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</si>
  <si>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</si>
  <si>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</si>
  <si>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</si>
  <si>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</si>
  <si>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</si>
  <si>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</si>
  <si>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</si>
  <si>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</si>
  <si>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</si>
  <si>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</si>
  <si>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</si>
  <si>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</si>
  <si>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</si>
  <si>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</si>
  <si>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</si>
  <si>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</si>
  <si>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</si>
  <si>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</si>
  <si>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</si>
  <si>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</si>
  <si>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</si>
  <si>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</si>
  <si>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</si>
  <si>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</si>
  <si>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</si>
  <si>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</si>
  <si>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</si>
  <si>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</si>
  <si>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</si>
  <si>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</si>
  <si>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</si>
  <si>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</si>
  <si>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</si>
  <si>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</si>
  <si>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</si>
  <si>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</si>
  <si>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</si>
  <si>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</si>
  <si>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</si>
  <si>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</si>
  <si>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</si>
  <si>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</si>
  <si>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</si>
  <si>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</si>
  <si>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</si>
  <si>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</si>
  <si>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</si>
  <si>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</si>
  <si>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</si>
  <si>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</si>
  <si>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</si>
  <si>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</si>
  <si>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</si>
  <si>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</si>
  <si>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</si>
  <si>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</si>
  <si>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</si>
  <si>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</si>
  <si>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</si>
  <si>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</si>
  <si>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</si>
  <si>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</si>
  <si>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</si>
  <si>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</si>
  <si>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</si>
  <si>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</si>
  <si>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</si>
  <si>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</si>
  <si>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</si>
  <si>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</si>
  <si>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</si>
  <si>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</si>
  <si>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</si>
  <si>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</si>
  <si>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</si>
  <si>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</si>
  <si>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</si>
  <si>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</si>
  <si>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</si>
  <si>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</si>
  <si>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</si>
  <si>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</si>
  <si>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</si>
  <si>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</si>
  <si>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</si>
  <si>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</si>
  <si>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</si>
  <si>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</si>
  <si>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</si>
  <si>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</si>
  <si>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</si>
  <si>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</si>
  <si>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</si>
  <si>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</si>
  <si>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</si>
  <si>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</si>
  <si>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</si>
  <si>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</si>
  <si>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</si>
  <si>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</si>
  <si>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</si>
  <si>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</si>
  <si>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</si>
  <si>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</si>
  <si>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</si>
  <si>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</si>
  <si>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</si>
  <si>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</si>
  <si>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</si>
  <si>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</si>
  <si>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</si>
  <si>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</si>
  <si>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</si>
  <si>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</si>
  <si>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</si>
  <si>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</si>
  <si>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</si>
  <si>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</si>
  <si>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</si>
  <si>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</si>
  <si>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</si>
  <si>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</si>
  <si>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</si>
  <si>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</si>
  <si>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</si>
  <si>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</si>
  <si>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</si>
  <si>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</si>
  <si>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</si>
  <si>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</si>
  <si>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</si>
  <si>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</si>
  <si>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</si>
  <si>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</si>
  <si>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</si>
  <si>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</si>
  <si>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</si>
  <si>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</si>
  <si>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</si>
  <si>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</si>
  <si>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</si>
  <si>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</si>
  <si>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</si>
  <si>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</si>
  <si>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</si>
  <si>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</si>
  <si>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</si>
  <si>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</si>
  <si>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</si>
  <si>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</si>
  <si>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</si>
  <si>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</si>
  <si>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</si>
  <si>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</si>
  <si>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</si>
  <si>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</si>
  <si>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</si>
  <si>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</si>
  <si>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</si>
  <si>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</si>
  <si>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</si>
  <si>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</si>
  <si>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</si>
  <si>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</si>
  <si>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</si>
  <si>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</si>
  <si>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</si>
  <si>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</si>
  <si>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</si>
  <si>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</si>
  <si>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</si>
  <si>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</si>
  <si>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</si>
  <si>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</si>
  <si>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</si>
  <si>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</si>
  <si>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</si>
  <si>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</si>
  <si>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</si>
  <si>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</si>
  <si>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</si>
  <si>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</si>
  <si>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</si>
  <si>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</si>
  <si>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</si>
  <si>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</si>
  <si>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</si>
  <si>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</si>
  <si>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</si>
  <si>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</si>
  <si>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</si>
  <si>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</si>
  <si>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</si>
  <si>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</si>
  <si>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</si>
  <si>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</si>
  <si>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</si>
  <si>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</si>
  <si>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</si>
  <si>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</si>
  <si>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</si>
  <si>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</si>
  <si>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</si>
  <si>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</si>
  <si>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</si>
  <si>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</si>
  <si>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</si>
  <si>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</si>
  <si>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</si>
  <si>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</si>
  <si>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</si>
  <si>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</si>
  <si>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</si>
  <si>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</si>
  <si>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</si>
  <si>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</si>
  <si>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</si>
  <si>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</si>
  <si>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</si>
  <si>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</si>
  <si>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</si>
  <si>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</si>
  <si>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</si>
  <si>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</si>
  <si>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</si>
  <si>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</si>
  <si>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</si>
  <si>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</si>
  <si>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</si>
  <si>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</si>
  <si>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</si>
  <si>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</si>
  <si>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</si>
  <si>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</si>
  <si>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</si>
  <si>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</si>
  <si>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</si>
  <si>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</si>
  <si>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</si>
  <si>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</si>
  <si>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</si>
  <si>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</si>
  <si>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</si>
  <si>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</si>
  <si>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</si>
  <si>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</si>
  <si>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</si>
  <si>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</si>
  <si>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</si>
  <si>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</si>
  <si>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</si>
  <si>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</si>
  <si>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</si>
  <si>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</si>
  <si>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</si>
  <si>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</si>
  <si>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</si>
  <si>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</si>
  <si>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</si>
  <si>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</si>
  <si>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</si>
  <si>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</si>
  <si>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</si>
  <si>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</si>
  <si>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</si>
  <si>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</si>
  <si>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</si>
  <si>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</si>
  <si>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</si>
  <si>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</si>
  <si>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</si>
  <si>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</si>
  <si>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</si>
  <si>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</si>
  <si>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</si>
  <si>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</si>
  <si>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</si>
  <si>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</si>
  <si>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</si>
  <si>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</si>
  <si>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</si>
  <si>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</si>
  <si>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</si>
  <si>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</si>
  <si>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</si>
  <si>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</si>
  <si>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</si>
  <si>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</si>
  <si>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</si>
  <si>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</si>
  <si>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</si>
  <si>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</si>
  <si>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</si>
  <si>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</si>
  <si>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</si>
  <si>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</si>
  <si>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</si>
  <si>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</si>
  <si>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</si>
  <si>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</si>
  <si>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</si>
  <si>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</si>
  <si>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</si>
  <si>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</si>
  <si>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</si>
  <si>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</si>
  <si>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</si>
  <si>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</si>
  <si>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</si>
  <si>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</si>
  <si>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</si>
  <si>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</si>
  <si>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</si>
  <si>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</si>
  <si>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</si>
  <si>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</si>
  <si>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</si>
  <si>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</si>
  <si>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</si>
  <si>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</si>
  <si>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</si>
  <si>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</si>
  <si>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</si>
  <si>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</si>
  <si>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</si>
  <si>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</si>
  <si>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</si>
  <si>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</si>
  <si>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</si>
  <si>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</si>
  <si>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</si>
  <si>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</si>
  <si>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</si>
  <si>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</si>
  <si>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</si>
  <si>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</si>
  <si>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</si>
  <si>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</si>
  <si>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</si>
  <si>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</si>
  <si>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</si>
  <si>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</si>
  <si>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</si>
  <si>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</si>
  <si>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</si>
  <si>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</si>
  <si>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</si>
  <si>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</si>
  <si>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</si>
  <si>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</si>
  <si>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</si>
  <si>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</si>
  <si>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</si>
  <si>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</si>
  <si>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</si>
  <si>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</si>
  <si>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</si>
  <si>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</si>
  <si>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</si>
  <si>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</si>
  <si>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</si>
  <si>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</si>
  <si>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</si>
  <si>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</si>
  <si>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</si>
  <si>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</si>
  <si>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</si>
  <si>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</si>
  <si>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</si>
  <si>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</si>
  <si>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</si>
  <si>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</si>
  <si>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</si>
  <si>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</si>
  <si>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</si>
  <si>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</si>
  <si>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</si>
  <si>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</si>
  <si>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</si>
  <si>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</si>
  <si>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</si>
  <si>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</si>
  <si>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</si>
  <si>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</si>
  <si>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</si>
  <si>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</si>
  <si>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</si>
  <si>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</si>
  <si>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</si>
  <si>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</si>
  <si>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</si>
  <si>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</si>
  <si>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</si>
  <si>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</si>
  <si>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</si>
  <si>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</si>
  <si>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</si>
  <si>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</si>
  <si>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</si>
  <si>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</si>
  <si>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</si>
  <si>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</si>
  <si>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</si>
  <si>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</si>
  <si>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</si>
  <si>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</si>
  <si>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</si>
  <si>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</si>
  <si>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</si>
  <si>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</si>
  <si>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</si>
  <si>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</si>
  <si>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</si>
  <si>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</si>
  <si>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</si>
  <si>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</si>
  <si>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</si>
  <si>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</si>
  <si>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</si>
  <si>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</si>
  <si>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</si>
  <si>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</si>
  <si>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</si>
  <si>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</si>
  <si>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</si>
  <si>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</si>
  <si>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</si>
  <si>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</si>
  <si>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</si>
  <si>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</si>
  <si>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</si>
  <si>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</si>
  <si>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</si>
  <si>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</si>
  <si>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</si>
  <si>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</si>
  <si>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</si>
  <si>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</si>
  <si>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</si>
  <si>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</si>
  <si>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</si>
  <si>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</si>
  <si>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</si>
  <si>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</si>
  <si>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</si>
  <si>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</si>
  <si>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</si>
  <si>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</si>
  <si>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</si>
  <si>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</si>
  <si>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</si>
  <si>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</si>
  <si>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</si>
  <si>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</si>
  <si>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</si>
  <si>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</si>
  <si>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</si>
  <si>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</si>
  <si>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</si>
  <si>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</si>
  <si>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</si>
  <si>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</si>
  <si>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</si>
  <si>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</si>
  <si>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</si>
  <si>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</si>
  <si>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</si>
  <si>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</si>
  <si>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</si>
  <si>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</si>
  <si>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</si>
  <si>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</si>
  <si>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</si>
  <si>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</si>
  <si>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</si>
  <si>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</si>
  <si>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</si>
  <si>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</si>
  <si>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</si>
  <si>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</si>
  <si>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</si>
  <si>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</si>
  <si>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</si>
  <si>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</si>
  <si>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</si>
  <si>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</si>
  <si>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</si>
  <si>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</si>
  <si>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</si>
  <si>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</si>
  <si>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</si>
  <si>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</si>
  <si>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</si>
  <si>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</si>
  <si>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</si>
  <si>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</si>
  <si>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</si>
  <si>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</si>
  <si>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</si>
  <si>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</si>
  <si>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</si>
  <si>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</si>
  <si>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</si>
  <si>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</si>
  <si>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</si>
  <si>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</si>
  <si>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</si>
  <si>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</si>
  <si>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</si>
  <si>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</si>
  <si>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</si>
  <si>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</si>
  <si>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</si>
  <si>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</si>
  <si>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</si>
  <si>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</si>
  <si>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</si>
  <si>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</si>
  <si>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</si>
  <si>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</si>
  <si>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</si>
  <si>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</si>
  <si>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</si>
  <si>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</si>
  <si>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</si>
  <si>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</si>
  <si>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</si>
  <si>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</si>
  <si>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</si>
  <si>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</si>
  <si>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</si>
  <si>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</si>
  <si>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</si>
  <si>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</si>
  <si>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</si>
  <si>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</si>
  <si>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</si>
  <si>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</si>
  <si>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</si>
  <si>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</si>
  <si>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</si>
  <si>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</si>
  <si>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</si>
  <si>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</si>
  <si>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</si>
  <si>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</si>
  <si>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</si>
  <si>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</si>
  <si>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</si>
  <si>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</si>
  <si>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</si>
  <si>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</si>
  <si>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</si>
  <si>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</si>
  <si>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</si>
  <si>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</si>
  <si>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</si>
  <si>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</si>
  <si>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</si>
  <si>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</si>
  <si>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</si>
  <si>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</si>
  <si>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</si>
  <si>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</si>
  <si>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</si>
  <si>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</si>
  <si>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</si>
  <si>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</si>
  <si>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</si>
  <si>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</si>
  <si>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</si>
  <si>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</si>
  <si>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</si>
  <si>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</si>
  <si>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</si>
  <si>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</si>
  <si>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</si>
  <si>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</si>
  <si>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</si>
  <si>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</si>
  <si>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</si>
  <si>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</si>
  <si>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</si>
  <si>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</si>
  <si>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</si>
  <si>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</si>
  <si>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</si>
  <si>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</si>
  <si>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</si>
  <si>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</si>
  <si>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</si>
  <si>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</si>
  <si>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</si>
  <si>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</si>
  <si>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</si>
  <si>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</si>
  <si>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</si>
  <si>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</si>
  <si>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</si>
  <si>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</si>
  <si>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</si>
  <si>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</si>
  <si>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</si>
  <si>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</si>
  <si>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</si>
  <si>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</si>
  <si>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</si>
  <si>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</si>
  <si>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</si>
  <si>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</si>
  <si>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</si>
  <si>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</si>
  <si>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</si>
  <si>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</si>
  <si>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</si>
  <si>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</si>
  <si>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</si>
  <si>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</si>
  <si>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</si>
  <si>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</si>
  <si>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</si>
  <si>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</si>
  <si>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</si>
  <si>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</si>
  <si>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</si>
  <si>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</si>
  <si>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</si>
  <si>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</si>
  <si>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</si>
  <si>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</si>
  <si>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</si>
  <si>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</si>
  <si>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</si>
  <si>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</si>
  <si>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</si>
  <si>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</si>
  <si>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</si>
  <si>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</si>
  <si>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</si>
  <si>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</si>
  <si>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</si>
  <si>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</si>
  <si>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</si>
  <si>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</si>
  <si>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</si>
  <si>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</si>
  <si>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</si>
  <si>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</si>
  <si>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</si>
  <si>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</si>
  <si>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</si>
  <si>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</si>
  <si>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</si>
  <si>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</si>
  <si>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</si>
  <si>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</si>
  <si>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</si>
  <si>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</si>
  <si>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</si>
  <si>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</si>
  <si>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</si>
  <si>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</si>
  <si>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</si>
  <si>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</si>
  <si>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</si>
  <si>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</si>
  <si>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</si>
  <si>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</si>
  <si>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</si>
  <si>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</si>
  <si>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</si>
  <si>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</si>
  <si>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</si>
  <si>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</si>
  <si>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</si>
  <si>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</si>
  <si>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</si>
  <si>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</si>
  <si>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</si>
  <si>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</si>
  <si>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</si>
  <si>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</si>
  <si>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</si>
  <si>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</si>
  <si>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</si>
  <si>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</si>
  <si>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</si>
  <si>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</si>
  <si>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</si>
  <si>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</si>
  <si>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</si>
  <si>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</si>
  <si>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</si>
  <si>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</si>
  <si>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</si>
  <si>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</si>
  <si>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</si>
  <si>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</si>
  <si>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</si>
  <si>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</si>
  <si>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</si>
  <si>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</si>
  <si>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</si>
  <si>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</si>
  <si>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</si>
  <si>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</si>
  <si>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</si>
  <si>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</si>
  <si>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</si>
  <si>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</si>
  <si>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</si>
  <si>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</si>
  <si>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</si>
  <si>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</si>
  <si>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</si>
  <si>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</si>
  <si>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</si>
  <si>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</si>
  <si>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</si>
  <si>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</si>
  <si>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</si>
  <si>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</si>
  <si>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</si>
  <si>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</si>
  <si>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</si>
  <si>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</si>
  <si>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</si>
  <si>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</si>
  <si>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</si>
  <si>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</si>
  <si>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</si>
  <si>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</si>
  <si>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</si>
  <si>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</si>
  <si>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</si>
  <si>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</si>
  <si>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</si>
  <si>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</si>
  <si>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</si>
  <si>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</si>
  <si>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</si>
  <si>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</si>
  <si>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</si>
  <si>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</si>
  <si>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</si>
  <si>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</si>
  <si>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</si>
  <si>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</si>
  <si>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</si>
  <si>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</si>
  <si>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</si>
  <si>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</si>
  <si>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</si>
  <si>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</si>
  <si>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</si>
  <si>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</si>
  <si>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</si>
  <si>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</si>
  <si>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</si>
  <si>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</si>
  <si>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</si>
  <si>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</si>
  <si>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</si>
  <si>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</si>
  <si>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</si>
  <si>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</si>
  <si>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</si>
  <si>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</si>
  <si>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</si>
  <si>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</si>
  <si>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</si>
  <si>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</si>
  <si>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</si>
  <si>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</si>
  <si>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</si>
  <si>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</si>
  <si>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</si>
  <si>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</si>
  <si>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</si>
  <si>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</si>
  <si>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</si>
  <si>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</si>
  <si>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</si>
  <si>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</si>
  <si>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</si>
  <si>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</si>
  <si>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</si>
  <si>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</si>
  <si>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</si>
  <si>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</si>
  <si>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</si>
  <si>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</si>
  <si>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</si>
  <si>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</si>
  <si>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</si>
  <si>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</si>
  <si>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</si>
  <si>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</si>
  <si>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</si>
  <si>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</si>
  <si>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</si>
  <si>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</si>
  <si>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</si>
  <si>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</si>
  <si>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</si>
  <si>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</si>
  <si>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</si>
  <si>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</si>
  <si>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</si>
  <si>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</si>
  <si>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</si>
  <si>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</si>
  <si>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</si>
  <si>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</si>
  <si>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</si>
  <si>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</si>
  <si>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</si>
  <si>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</si>
  <si>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</si>
  <si>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</si>
  <si>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</si>
  <si>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</si>
  <si>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</si>
  <si>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</si>
  <si>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</si>
  <si>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</si>
  <si>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</si>
  <si>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</si>
  <si>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</si>
  <si>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</si>
  <si>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</si>
  <si>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</si>
  <si>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</si>
  <si>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</si>
  <si>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</si>
  <si>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</si>
  <si>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</si>
  <si>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</si>
  <si>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</si>
  <si>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</si>
  <si>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</si>
  <si>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</si>
  <si>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</si>
  <si>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</si>
  <si>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</si>
  <si>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</si>
  <si>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</si>
  <si>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</si>
  <si>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</si>
  <si>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</si>
  <si>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</si>
  <si>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</si>
  <si>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</si>
  <si>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</si>
  <si>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</si>
  <si>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</si>
  <si>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</si>
  <si>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</si>
  <si>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</si>
  <si>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</si>
  <si>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</si>
  <si>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</si>
  <si>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</si>
  <si>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</si>
  <si>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</si>
  <si>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</si>
  <si>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</si>
  <si>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</si>
  <si>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</si>
  <si>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</si>
  <si>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</si>
  <si>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</si>
  <si>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</si>
  <si>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</si>
  <si>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</si>
  <si>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</si>
  <si>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</si>
  <si>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</si>
  <si>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</si>
  <si>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</si>
  <si>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</si>
  <si>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</si>
  <si>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</si>
  <si>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</si>
  <si>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</si>
  <si>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</si>
  <si>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</si>
  <si>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</si>
  <si>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</si>
  <si>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</si>
  <si>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</si>
  <si>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</si>
  <si>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</si>
  <si>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</si>
  <si>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</si>
  <si>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</si>
  <si>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</si>
  <si>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</si>
  <si>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</si>
  <si>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</si>
  <si>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</si>
  <si>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</si>
  <si>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</si>
  <si>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</si>
  <si>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</si>
  <si>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</si>
  <si>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</si>
  <si>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</si>
  <si>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</si>
  <si>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</si>
  <si>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</si>
  <si>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</si>
  <si>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</si>
  <si>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</si>
  <si>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</si>
  <si>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</si>
  <si>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</si>
  <si>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</si>
  <si>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</si>
  <si>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</si>
  <si>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</si>
  <si>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</si>
  <si>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</si>
  <si>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</si>
  <si>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</si>
  <si>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</si>
  <si>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</si>
  <si>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</si>
  <si>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</si>
  <si>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</si>
  <si>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</si>
  <si>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</si>
  <si>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</si>
  <si>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</si>
  <si>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</si>
  <si>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</si>
  <si>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</si>
  <si>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</si>
  <si>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</si>
  <si>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</si>
  <si>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</si>
  <si>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</si>
  <si>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</si>
  <si>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</si>
  <si>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</si>
  <si>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</si>
  <si>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</si>
  <si>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</si>
  <si>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</si>
  <si>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</si>
  <si>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</si>
  <si>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</si>
  <si>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</si>
  <si>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</si>
  <si>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</si>
  <si>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</si>
  <si>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</si>
  <si>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</si>
  <si>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</si>
  <si>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</si>
  <si>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</si>
  <si>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</si>
  <si>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</si>
  <si>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</si>
  <si>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</si>
  <si>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</si>
  <si>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</si>
  <si>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</si>
  <si>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</si>
  <si>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</si>
  <si>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</si>
  <si>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</si>
  <si>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</si>
  <si>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</si>
  <si>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</si>
  <si>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</si>
  <si>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</si>
  <si>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</si>
  <si>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</si>
  <si>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</si>
  <si>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</si>
  <si>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</si>
  <si>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</si>
  <si>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</si>
  <si>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</si>
  <si>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</si>
  <si>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</si>
  <si>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</si>
  <si>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</si>
  <si>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</si>
  <si>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</si>
  <si>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</si>
  <si>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</si>
  <si>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</si>
  <si>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</si>
  <si>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</si>
  <si>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</si>
  <si>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</si>
  <si>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</si>
  <si>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</si>
  <si>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</si>
  <si>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</si>
  <si>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</si>
  <si>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</si>
  <si>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</si>
  <si>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</si>
  <si>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</si>
  <si>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</si>
  <si>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</si>
  <si>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</si>
  <si>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</si>
  <si>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</si>
  <si>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</si>
  <si>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</si>
  <si>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</si>
  <si>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</si>
  <si>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</si>
  <si>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</si>
  <si>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</si>
  <si>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</si>
  <si>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</si>
  <si>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</si>
  <si>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</si>
  <si>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</si>
  <si>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</si>
  <si>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</si>
  <si>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</si>
  <si>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</si>
  <si>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</si>
  <si>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</si>
  <si>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</si>
  <si>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</si>
  <si>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</si>
  <si>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</si>
  <si>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</si>
  <si>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</si>
  <si>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</si>
  <si>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</si>
  <si>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</si>
  <si>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</si>
  <si>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</si>
  <si>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</si>
  <si>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</si>
  <si>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</si>
  <si>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</si>
  <si>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</si>
  <si>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</si>
  <si>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</si>
  <si>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</si>
  <si>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</si>
  <si>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</si>
  <si>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</si>
  <si>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</si>
  <si>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</si>
  <si>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</si>
  <si>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</si>
  <si>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</si>
  <si>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</si>
  <si>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</si>
  <si>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</si>
  <si>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</si>
  <si>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</si>
  <si>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</si>
  <si>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</si>
  <si>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</si>
  <si>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</si>
  <si>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</si>
  <si>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</si>
  <si>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</si>
  <si>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</si>
  <si>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</si>
  <si>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</si>
  <si>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</si>
  <si>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</si>
  <si>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</si>
  <si>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</si>
  <si>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</si>
  <si>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</si>
  <si>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</si>
  <si>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</si>
  <si>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</si>
  <si>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</si>
  <si>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</si>
  <si>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</si>
  <si>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</si>
  <si>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</si>
  <si>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</si>
  <si>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</si>
  <si>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</si>
  <si>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</si>
  <si>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</si>
  <si>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</si>
  <si>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</si>
  <si>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</si>
  <si>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</si>
  <si>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</si>
  <si>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</si>
  <si>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</si>
  <si>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</si>
  <si>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</si>
  <si>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</si>
  <si>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</si>
  <si>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</si>
  <si>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</si>
  <si>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</si>
  <si>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</si>
  <si>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</si>
  <si>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</si>
  <si>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</si>
  <si>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</si>
  <si>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</si>
  <si>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</si>
  <si>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</si>
  <si>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</si>
  <si>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</si>
  <si>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</si>
  <si>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</si>
  <si>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</si>
  <si>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</si>
  <si>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</si>
  <si>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</si>
  <si>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</si>
  <si>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</si>
  <si>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</si>
  <si>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</si>
  <si>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</si>
  <si>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</si>
  <si>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</si>
  <si>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</si>
  <si>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</si>
  <si>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</si>
  <si>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</si>
  <si>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</si>
  <si>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</si>
  <si>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</si>
  <si>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</si>
  <si>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</si>
  <si>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</si>
  <si>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</si>
  <si>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</si>
  <si>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</si>
  <si>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</si>
  <si>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</si>
  <si>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</si>
  <si>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</si>
  <si>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</si>
  <si>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</si>
  <si>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</si>
  <si>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</si>
  <si>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</si>
  <si>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</si>
  <si>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</si>
  <si>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</si>
  <si>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</si>
  <si>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</si>
  <si>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</si>
  <si>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</si>
  <si>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</si>
  <si>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</si>
  <si>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</si>
  <si>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</si>
  <si>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</si>
  <si>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</si>
  <si>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</si>
  <si>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</si>
  <si>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</si>
  <si>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</si>
  <si>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</si>
  <si>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</si>
  <si>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</si>
  <si>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</si>
  <si>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</si>
  <si>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</si>
  <si>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</si>
  <si>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</si>
  <si>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</si>
  <si>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</si>
  <si>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</si>
  <si>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</si>
  <si>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</si>
  <si>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</si>
  <si>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</si>
  <si>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</si>
  <si>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</si>
  <si>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</si>
  <si>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</si>
  <si>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</si>
  <si>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</si>
  <si>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</si>
  <si>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</si>
  <si>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</si>
  <si>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</si>
  <si>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</si>
  <si>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</si>
  <si>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</si>
  <si>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</si>
  <si>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</si>
  <si>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</si>
  <si>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</si>
  <si>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</si>
  <si>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</si>
  <si>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</si>
  <si>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</si>
  <si>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</si>
  <si>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</si>
  <si>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</si>
  <si>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</si>
  <si>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</si>
  <si>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</si>
  <si>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</si>
  <si>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</si>
  <si>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</si>
  <si>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</si>
  <si>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</si>
  <si>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</si>
  <si>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</si>
  <si>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</si>
  <si>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</si>
  <si>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</si>
  <si>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</si>
  <si>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</si>
  <si>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</si>
  <si>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</si>
  <si>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</si>
  <si>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</si>
  <si>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</si>
  <si>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</si>
  <si>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</si>
  <si>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</si>
  <si>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</si>
  <si>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</si>
  <si>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</si>
  <si>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</si>
  <si>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</si>
  <si>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</si>
  <si>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</si>
  <si>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</si>
  <si>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</si>
  <si>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</si>
  <si>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</si>
  <si>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</si>
  <si>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</si>
  <si>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</si>
  <si>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</si>
  <si>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</si>
  <si>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</si>
  <si>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</si>
  <si>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</si>
  <si>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</si>
  <si>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</si>
  <si>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</si>
  <si>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</si>
  <si>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</si>
  <si>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</si>
  <si>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</si>
  <si>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</si>
  <si>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</si>
  <si>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</si>
  <si>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</si>
  <si>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</si>
  <si>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</si>
  <si>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</si>
  <si>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</si>
  <si>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</si>
  <si>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</si>
  <si>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</si>
  <si>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</si>
  <si>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</si>
  <si>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</si>
  <si>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</si>
  <si>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</si>
  <si>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</si>
  <si>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</si>
  <si>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</si>
  <si>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</si>
  <si>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</si>
  <si>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</si>
  <si>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</si>
  <si>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</si>
  <si>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</si>
  <si>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</si>
  <si>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</si>
  <si>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</si>
  <si>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</si>
  <si>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</si>
  <si>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</si>
  <si>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</si>
  <si>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</si>
  <si>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</si>
  <si>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</si>
  <si>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</si>
  <si>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</si>
  <si>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</si>
  <si>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</si>
  <si>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</si>
  <si>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</si>
  <si>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</si>
  <si>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</si>
  <si>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</si>
  <si>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</si>
  <si>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</si>
  <si>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</si>
  <si>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</si>
  <si>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</si>
  <si>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</si>
  <si>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</si>
  <si>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</si>
  <si>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</si>
  <si>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</si>
  <si>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</si>
  <si>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</si>
  <si>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</si>
  <si>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</si>
  <si>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</si>
  <si>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</si>
  <si>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</si>
  <si>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</si>
  <si>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</si>
  <si>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</si>
  <si>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</si>
  <si>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</si>
  <si>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</si>
  <si>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</si>
  <si>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</si>
  <si>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</si>
  <si>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</si>
  <si>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</si>
  <si>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</si>
  <si>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</si>
  <si>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</si>
  <si>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</si>
  <si>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</si>
  <si>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</si>
  <si>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</si>
  <si>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</si>
  <si>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</si>
  <si>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</si>
  <si>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</si>
  <si>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</si>
  <si>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</si>
  <si>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</si>
  <si>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</si>
  <si>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</si>
  <si>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</si>
  <si>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</si>
  <si>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</si>
  <si>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</si>
  <si>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</si>
  <si>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</si>
  <si>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</si>
  <si>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</si>
  <si>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</si>
  <si>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</si>
  <si>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</si>
  <si>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</si>
  <si>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</si>
  <si>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</si>
  <si>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</si>
  <si>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</si>
  <si>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</si>
  <si>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</si>
  <si>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</si>
  <si>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</si>
  <si>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</si>
  <si>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</si>
  <si>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</si>
  <si>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</si>
  <si>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</si>
  <si>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</si>
  <si>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</si>
  <si>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</si>
  <si>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</si>
  <si>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</si>
  <si>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</si>
  <si>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</si>
  <si>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</si>
  <si>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</si>
  <si>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</si>
  <si>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</si>
  <si>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</si>
  <si>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</si>
  <si>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</si>
  <si>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</si>
  <si>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</si>
  <si>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</si>
  <si>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</si>
  <si>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</si>
  <si>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</si>
  <si>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</si>
  <si>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</si>
  <si>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</si>
  <si>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</si>
  <si>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</si>
  <si>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</si>
  <si>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</si>
  <si>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</si>
  <si>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</si>
  <si>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</si>
  <si>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</si>
  <si>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</si>
  <si>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</si>
  <si>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</si>
  <si>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</si>
  <si>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</si>
  <si>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</si>
  <si>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</si>
  <si>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</si>
  <si>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</si>
  <si>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</si>
  <si>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</si>
  <si>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</si>
  <si>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</si>
  <si>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</si>
  <si>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</si>
  <si>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</si>
  <si>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</si>
  <si>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</si>
  <si>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</si>
  <si>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</si>
  <si>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</si>
  <si>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</si>
  <si>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</si>
  <si>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</si>
  <si>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</si>
  <si>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</si>
  <si>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</si>
  <si>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</si>
  <si>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</si>
  <si>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</si>
  <si>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</si>
  <si>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</si>
  <si>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</si>
  <si>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</si>
  <si>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</si>
  <si>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</si>
  <si>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</si>
  <si>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</si>
  <si>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</si>
  <si>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</si>
  <si>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</si>
  <si>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</si>
  <si>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</si>
  <si>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</si>
  <si>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</si>
  <si>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</si>
  <si>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</si>
  <si>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</si>
  <si>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</si>
  <si>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</si>
  <si>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</si>
  <si>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</si>
  <si>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</si>
  <si>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</si>
  <si>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</si>
  <si>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</si>
  <si>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</si>
  <si>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</si>
  <si>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</si>
  <si>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</si>
  <si>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</si>
  <si>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</si>
  <si>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</si>
  <si>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</si>
  <si>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</si>
  <si>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</si>
  <si>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</si>
  <si>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</si>
  <si>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</si>
  <si>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</si>
  <si>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</si>
  <si>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</si>
  <si>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</si>
  <si>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</si>
  <si>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</si>
  <si>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</si>
  <si>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</si>
  <si>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</si>
  <si>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</si>
  <si>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</si>
  <si>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</si>
  <si>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</si>
  <si>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</si>
  <si>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</si>
  <si>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</si>
  <si>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</si>
  <si>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</si>
  <si>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</si>
  <si>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</si>
  <si>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</si>
  <si>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</si>
  <si>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</si>
  <si>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</si>
  <si>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</si>
  <si>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</si>
  <si>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</si>
  <si>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</si>
  <si>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</si>
  <si>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</si>
  <si>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</si>
  <si>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</si>
  <si>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</si>
  <si>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</si>
  <si>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</si>
  <si>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</si>
  <si>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</si>
  <si>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</si>
  <si>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</si>
  <si>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</si>
  <si>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</si>
  <si>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</si>
  <si>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</si>
  <si>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</si>
  <si>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</si>
  <si>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</si>
  <si>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</si>
  <si>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</si>
  <si>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</si>
  <si>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</si>
  <si>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</si>
  <si>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</si>
  <si>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</si>
  <si>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</si>
  <si>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</si>
  <si>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</si>
  <si>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</si>
  <si>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</si>
  <si>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</si>
  <si>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</si>
  <si>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</si>
  <si>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</si>
  <si>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</si>
  <si>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</si>
  <si>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</si>
  <si>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</si>
  <si>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</si>
  <si>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</si>
  <si>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</si>
  <si>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</si>
  <si>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</si>
  <si>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</si>
  <si>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</si>
  <si>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</si>
  <si>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</si>
  <si>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</si>
  <si>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</si>
  <si>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</si>
  <si>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</si>
  <si>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</si>
  <si>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</si>
  <si>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</si>
  <si>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</si>
  <si>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</si>
  <si>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</si>
  <si>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</si>
  <si>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</si>
  <si>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</si>
  <si>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</si>
  <si>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</si>
  <si>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</si>
  <si>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</si>
  <si>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</si>
  <si>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</si>
  <si>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</si>
  <si>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</si>
  <si>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</si>
  <si>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</si>
  <si>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</si>
  <si>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</si>
  <si>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</si>
  <si>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</si>
  <si>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</si>
  <si>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</si>
  <si>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</si>
  <si>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</si>
  <si>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</si>
  <si>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</si>
  <si>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</si>
  <si>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</si>
  <si>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</si>
  <si>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</si>
  <si>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</si>
  <si>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</si>
  <si>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</si>
  <si>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</si>
  <si>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</si>
  <si>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</si>
  <si>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</si>
  <si>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</si>
  <si>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</si>
  <si>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</si>
  <si>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</si>
  <si>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</si>
  <si>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</si>
  <si>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</si>
  <si>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</si>
  <si>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</si>
  <si>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</si>
  <si>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</si>
  <si>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</si>
  <si>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</si>
  <si>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</si>
  <si>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</si>
  <si>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</si>
  <si>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</si>
  <si>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</si>
  <si>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</si>
  <si>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</si>
  <si>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</si>
  <si>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</si>
  <si>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</si>
  <si>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</si>
  <si>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</si>
  <si>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</si>
  <si>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</si>
  <si>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</si>
  <si>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</si>
  <si>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</si>
  <si>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</si>
  <si>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</si>
  <si>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</si>
  <si>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</si>
  <si>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</si>
  <si>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</si>
  <si>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</si>
  <si>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</si>
  <si>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</si>
  <si>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</si>
  <si>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</si>
  <si>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</si>
  <si>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</si>
  <si>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</si>
  <si>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</si>
  <si>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</si>
  <si>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</si>
  <si>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</si>
  <si>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</si>
  <si>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</si>
  <si>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</si>
  <si>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</si>
  <si>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</si>
  <si>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</si>
  <si>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</si>
  <si>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</si>
  <si>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</si>
  <si>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</si>
  <si>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</si>
  <si>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</si>
  <si>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</si>
  <si>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</si>
  <si>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</si>
  <si>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</si>
  <si>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</si>
  <si>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</si>
  <si>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</si>
  <si>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</si>
  <si>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</si>
  <si>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</si>
  <si>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</si>
  <si>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</si>
  <si>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</si>
  <si>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</si>
  <si>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</si>
  <si>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</si>
  <si>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</si>
  <si>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</si>
  <si>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</si>
  <si>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</si>
  <si>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</si>
  <si>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</si>
  <si>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</si>
  <si>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</si>
  <si>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</si>
  <si>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</si>
  <si>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</si>
  <si>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</si>
  <si>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</si>
  <si>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</si>
  <si>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</si>
  <si>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</si>
  <si>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</si>
  <si>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</si>
  <si>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</si>
  <si>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</si>
  <si>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</si>
  <si>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</si>
  <si>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</si>
  <si>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</si>
  <si>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</si>
  <si>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</si>
  <si>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</si>
  <si>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</si>
  <si>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</si>
  <si>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</si>
  <si>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</si>
  <si>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</si>
  <si>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</si>
  <si>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</si>
  <si>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</si>
  <si>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</si>
  <si>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</si>
  <si>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</si>
  <si>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</si>
  <si>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</si>
  <si>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</si>
  <si>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</si>
  <si>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</si>
  <si>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</si>
  <si>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</si>
  <si>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</si>
  <si>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</si>
  <si>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</si>
  <si>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</si>
  <si>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</si>
  <si>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</si>
  <si>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</si>
  <si>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</si>
  <si>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</si>
  <si>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</si>
  <si>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</si>
  <si>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</si>
  <si>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</si>
  <si>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</si>
  <si>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</si>
  <si>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</si>
  <si>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</si>
  <si>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</si>
  <si>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</si>
  <si>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</si>
  <si>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</si>
  <si>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</si>
  <si>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</si>
  <si>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</si>
  <si>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</si>
  <si>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</si>
  <si>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</si>
  <si>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</si>
  <si>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</si>
  <si>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</si>
  <si>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</si>
  <si>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</si>
  <si>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</si>
  <si>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</si>
  <si>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</si>
  <si>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</si>
  <si>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</si>
  <si>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</si>
  <si>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</si>
  <si>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</si>
  <si>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</si>
  <si>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</si>
  <si>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</si>
  <si>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</si>
  <si>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</si>
  <si>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</si>
  <si>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</si>
  <si>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</si>
  <si>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</si>
  <si>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</si>
  <si>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</si>
  <si>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</si>
  <si>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</si>
  <si>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</si>
  <si>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</si>
  <si>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</si>
  <si>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</si>
  <si>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</si>
  <si>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</si>
  <si>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</si>
  <si>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</si>
  <si>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</si>
  <si>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</si>
  <si>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</si>
  <si>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</si>
  <si>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</si>
  <si>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</si>
  <si>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</si>
  <si>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</si>
  <si>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</si>
  <si>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</si>
  <si>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</si>
  <si>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</si>
  <si>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</si>
  <si>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</si>
  <si>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</si>
  <si>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</si>
  <si>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</si>
  <si>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</si>
  <si>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</si>
  <si>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</si>
  <si>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</si>
  <si>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</si>
  <si>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</si>
  <si>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</si>
  <si>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</si>
  <si>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</si>
  <si>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</si>
  <si>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</si>
  <si>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</si>
  <si>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</si>
  <si>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</si>
  <si>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</si>
  <si>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</si>
  <si>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</si>
  <si>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</si>
  <si>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</si>
  <si>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</si>
  <si>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</si>
  <si>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</si>
  <si>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</si>
  <si>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</si>
  <si>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</si>
  <si>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</si>
  <si>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</si>
  <si>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</si>
  <si>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</si>
  <si>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</si>
  <si>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</si>
  <si>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</si>
  <si>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</si>
  <si>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</si>
  <si>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</si>
  <si>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</si>
  <si>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</si>
  <si>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</si>
  <si>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</si>
  <si>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</si>
  <si>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</si>
  <si>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</si>
  <si>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</si>
  <si>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</si>
  <si>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</si>
  <si>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</si>
  <si>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</si>
  <si>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</si>
  <si>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</si>
  <si>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</si>
  <si>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</si>
  <si>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</si>
  <si>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</si>
  <si>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</si>
  <si>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</si>
  <si>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</si>
  <si>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</si>
  <si>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</si>
  <si>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</si>
  <si>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</si>
  <si>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</si>
  <si>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</si>
  <si>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</si>
  <si>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</si>
  <si>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</si>
  <si>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</si>
  <si>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</si>
  <si>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</si>
  <si>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</si>
  <si>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</si>
  <si>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</si>
  <si>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</si>
  <si>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</si>
  <si>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</si>
  <si>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</si>
  <si>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</si>
  <si>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</si>
  <si>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</si>
  <si>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</si>
  <si>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</si>
  <si>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</si>
  <si>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</si>
  <si>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</si>
  <si>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</si>
  <si>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</si>
  <si>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</si>
  <si>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</si>
  <si>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</si>
  <si>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</si>
  <si>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</si>
  <si>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</si>
  <si>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</si>
  <si>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</si>
  <si>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</si>
  <si>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</si>
  <si>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</si>
  <si>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</si>
  <si>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</si>
  <si>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</si>
  <si>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</si>
  <si>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</si>
  <si>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</si>
  <si>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</si>
  <si>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</si>
  <si>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</si>
  <si>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</si>
  <si>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</si>
  <si>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</si>
  <si>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</si>
  <si>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</si>
  <si>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</si>
  <si>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</si>
  <si>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</si>
  <si>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</si>
  <si>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</si>
  <si>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</si>
  <si>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</si>
  <si>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</si>
  <si>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</si>
  <si>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</si>
  <si>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</si>
  <si>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</si>
  <si>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</si>
  <si>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</si>
  <si>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</si>
  <si>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</si>
  <si>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</si>
  <si>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</si>
  <si>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</si>
  <si>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</si>
  <si>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</si>
  <si>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</si>
  <si>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</si>
  <si>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</si>
  <si>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</si>
  <si>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</si>
  <si>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</si>
  <si>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</si>
  <si>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</si>
  <si>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</si>
  <si>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</si>
  <si>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</si>
  <si>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</si>
  <si>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</si>
  <si>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</si>
  <si>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</si>
  <si>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</si>
  <si>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</si>
  <si>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</si>
  <si>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</si>
  <si>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</si>
  <si>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</si>
  <si>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</si>
  <si>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</si>
  <si>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</si>
  <si>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</si>
  <si>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</si>
  <si>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</si>
  <si>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</si>
  <si>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</si>
  <si>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</si>
  <si>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</si>
  <si>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</si>
  <si>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</si>
  <si>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</si>
  <si>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</si>
  <si>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</si>
  <si>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</si>
  <si>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</si>
  <si>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</si>
  <si>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</si>
  <si>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</si>
  <si>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</si>
  <si>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</si>
  <si>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</si>
  <si>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</si>
  <si>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</si>
  <si>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</si>
  <si>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</si>
  <si>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</si>
  <si>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</si>
  <si>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</si>
  <si>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</si>
  <si>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</si>
  <si>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</si>
  <si>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</si>
  <si>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</si>
  <si>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</si>
  <si>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</si>
  <si>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</si>
  <si>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</si>
  <si>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</si>
  <si>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</si>
  <si>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</si>
  <si>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</si>
  <si>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</si>
  <si>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</si>
  <si>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</si>
  <si>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</si>
  <si>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</si>
  <si>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</si>
  <si>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</si>
  <si>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</si>
  <si>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</si>
  <si>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</si>
  <si>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</si>
  <si>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</si>
  <si>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</si>
  <si>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</si>
  <si>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</si>
  <si>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</si>
  <si>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</si>
  <si>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</si>
  <si>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</si>
  <si>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</si>
  <si>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</si>
  <si>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</si>
  <si>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</si>
  <si>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</si>
  <si>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</si>
  <si>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</si>
  <si>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</si>
  <si>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</si>
  <si>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</si>
  <si>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</si>
  <si>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</si>
  <si>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</si>
  <si>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</si>
  <si>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</si>
  <si>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</si>
  <si>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</si>
  <si>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</si>
  <si>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</si>
  <si>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</si>
  <si>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</si>
  <si>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</si>
  <si>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</si>
  <si>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</si>
  <si>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</si>
  <si>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</si>
  <si>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</si>
  <si>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</si>
  <si>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</si>
  <si>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</si>
  <si>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</si>
  <si>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</si>
  <si>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</si>
  <si>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</si>
  <si>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</si>
  <si>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</si>
  <si>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</si>
  <si>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</si>
  <si>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</si>
  <si>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</si>
  <si>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</si>
  <si>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</si>
  <si>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</si>
  <si>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</si>
  <si>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</si>
  <si>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</si>
  <si>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</si>
  <si>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</si>
  <si>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</si>
  <si>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</si>
  <si>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</si>
  <si>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</si>
  <si>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</si>
  <si>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</si>
  <si>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</si>
  <si>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</si>
  <si>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</si>
  <si>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</si>
  <si>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</si>
  <si>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</si>
  <si>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</si>
  <si>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</si>
  <si>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</si>
  <si>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</si>
  <si>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</si>
  <si>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</si>
  <si>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</si>
  <si>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</si>
  <si>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</si>
  <si>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</si>
  <si>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</si>
  <si>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</si>
  <si>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</si>
  <si>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</si>
  <si>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</si>
  <si>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</si>
  <si>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</si>
  <si>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</si>
  <si>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</si>
  <si>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</si>
  <si>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</si>
  <si>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</si>
  <si>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</si>
  <si>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</si>
  <si>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</si>
  <si>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</si>
  <si>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</si>
  <si>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</si>
  <si>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</si>
  <si>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</si>
  <si>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</si>
  <si>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</si>
  <si>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</si>
  <si>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</si>
  <si>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</si>
  <si>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</si>
  <si>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</si>
  <si>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</si>
  <si>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</si>
  <si>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</si>
  <si>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</si>
  <si>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</si>
  <si>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</si>
  <si>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</si>
  <si>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</si>
  <si>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</si>
  <si>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</si>
  <si>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</si>
  <si>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</si>
  <si>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</si>
  <si>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</si>
  <si>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</si>
  <si>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</si>
  <si>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</si>
  <si>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</si>
  <si>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</si>
  <si>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</si>
  <si>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</si>
  <si>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</si>
  <si>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</si>
  <si>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</si>
  <si>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</si>
  <si>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</si>
  <si>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</si>
  <si>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</si>
  <si>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</si>
  <si>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</si>
  <si>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</si>
  <si>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</si>
  <si>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</si>
  <si>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</si>
  <si>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</si>
  <si>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</si>
  <si>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</si>
  <si>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</si>
  <si>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</si>
  <si>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</si>
  <si>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</si>
  <si>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</si>
  <si>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</si>
  <si>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</si>
  <si>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</si>
  <si>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</si>
  <si>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</si>
  <si>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</si>
  <si>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</si>
  <si>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</si>
  <si>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</si>
  <si>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</si>
  <si>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</si>
  <si>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</si>
  <si>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</si>
  <si>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</si>
  <si>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</si>
  <si>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</si>
  <si>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</si>
  <si>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</si>
  <si>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</si>
  <si>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</si>
  <si>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</si>
  <si>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</si>
  <si>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</si>
  <si>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</si>
  <si>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</si>
  <si>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</si>
  <si>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</si>
  <si>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</si>
  <si>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</si>
  <si>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</si>
  <si>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</si>
  <si>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</si>
  <si>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</si>
  <si>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</si>
  <si>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</si>
  <si>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</si>
  <si>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</si>
  <si>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</si>
  <si>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</si>
  <si>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</si>
  <si>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</si>
  <si>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</si>
  <si>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</si>
  <si>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</si>
  <si>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</si>
  <si>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</si>
  <si>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</si>
  <si>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</si>
  <si>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</si>
  <si>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</si>
  <si>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</si>
  <si>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</si>
  <si>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</si>
  <si>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</si>
  <si>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</si>
  <si>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</si>
  <si>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</si>
  <si>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</si>
  <si>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</si>
  <si>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</si>
  <si>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</si>
  <si>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</si>
  <si>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</si>
  <si>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</si>
  <si>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</si>
  <si>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</si>
  <si>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</si>
  <si>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</si>
  <si>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</si>
  <si>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</si>
  <si>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</si>
  <si>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</si>
  <si>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</si>
  <si>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</si>
  <si>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</si>
  <si>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</si>
  <si>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</si>
  <si>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</si>
  <si>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</si>
  <si>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</si>
  <si>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</si>
  <si>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</si>
  <si>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</si>
  <si>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</si>
  <si>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</si>
  <si>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</si>
  <si>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</si>
  <si>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</si>
  <si>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</si>
  <si>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</si>
  <si>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</si>
  <si>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</si>
  <si>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</si>
  <si>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</si>
  <si>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</si>
  <si>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</si>
  <si>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</si>
  <si>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</si>
  <si>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</si>
  <si>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</si>
  <si>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</si>
  <si>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</si>
  <si>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</si>
  <si>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</si>
  <si>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</si>
  <si>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</si>
  <si>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</si>
  <si>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</si>
  <si>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</si>
  <si>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</si>
  <si>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</si>
  <si>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</si>
  <si>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</si>
  <si>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</si>
  <si>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</si>
  <si>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</si>
  <si>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</si>
  <si>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</si>
  <si>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</si>
  <si>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</si>
  <si>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</si>
  <si>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</si>
  <si>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</si>
  <si>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</si>
  <si>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</si>
  <si>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</si>
  <si>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</si>
  <si>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</si>
  <si>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</si>
  <si>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</si>
  <si>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</si>
  <si>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</si>
  <si>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</si>
  <si>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</si>
  <si>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</si>
  <si>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</si>
  <si>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</si>
  <si>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</si>
  <si>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</si>
  <si>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</si>
  <si>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</si>
  <si>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</si>
  <si>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</si>
  <si>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</si>
  <si>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</si>
  <si>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</si>
  <si>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</si>
  <si>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</si>
  <si>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</si>
  <si>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</si>
  <si>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</si>
  <si>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</si>
  <si>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</si>
  <si>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</si>
  <si>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</si>
  <si>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</si>
  <si>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</si>
  <si>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</si>
  <si>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</si>
  <si>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</si>
  <si>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</si>
  <si>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</si>
  <si>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</si>
  <si>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</si>
  <si>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</si>
  <si>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</si>
  <si>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</si>
  <si>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</si>
  <si>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</si>
  <si>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</si>
  <si>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</si>
  <si>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</si>
  <si>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</si>
  <si>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</si>
  <si>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</si>
  <si>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</si>
  <si>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</si>
  <si>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</si>
  <si>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</si>
  <si>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</si>
  <si>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</si>
  <si>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</si>
  <si>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</si>
  <si>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</si>
  <si>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</si>
  <si>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</si>
  <si>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</si>
  <si>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</si>
  <si>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</si>
  <si>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</si>
  <si>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</si>
  <si>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</si>
  <si>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</si>
  <si>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</si>
  <si>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</si>
  <si>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</si>
  <si>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</si>
  <si>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</si>
  <si>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</si>
  <si>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</si>
  <si>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</si>
  <si>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</si>
  <si>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</si>
  <si>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</si>
  <si>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</si>
  <si>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</si>
  <si>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</si>
  <si>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</si>
  <si>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</si>
  <si>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</si>
  <si>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</si>
  <si>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</si>
  <si>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</si>
  <si>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</si>
  <si>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</si>
  <si>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</si>
  <si>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</si>
  <si>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</si>
  <si>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</si>
  <si>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</si>
  <si>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</si>
  <si>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</si>
  <si>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</si>
  <si>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</si>
  <si>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</si>
  <si>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</si>
  <si>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</si>
  <si>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</si>
  <si>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</si>
  <si>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</si>
  <si>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</si>
  <si>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</si>
  <si>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</si>
  <si>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</si>
  <si>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</si>
  <si>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</si>
  <si>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</si>
  <si>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</si>
  <si>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</si>
  <si>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</si>
  <si>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</si>
  <si>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</si>
  <si>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</si>
  <si>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</si>
  <si>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</si>
  <si>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</si>
  <si>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</si>
  <si>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</si>
  <si>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</si>
  <si>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</si>
  <si>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</si>
  <si>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</si>
  <si>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</si>
  <si>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</si>
  <si>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</si>
  <si>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</si>
  <si>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</si>
  <si>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</si>
  <si>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</si>
  <si>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</si>
  <si>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</si>
  <si>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</si>
  <si>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</si>
  <si>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</si>
  <si>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</si>
  <si>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</si>
  <si>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</si>
  <si>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</si>
  <si>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</si>
  <si>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</si>
  <si>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</si>
  <si>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</si>
  <si>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</si>
  <si>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</si>
  <si>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</si>
  <si>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</si>
  <si>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</si>
  <si>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</si>
  <si>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</si>
  <si>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</si>
  <si>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</si>
  <si>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</si>
  <si>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</si>
  <si>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</si>
  <si>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</si>
  <si>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</si>
  <si>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</si>
  <si>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</si>
  <si>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</si>
  <si>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</si>
  <si>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</si>
  <si>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</si>
  <si>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</si>
  <si>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</si>
  <si>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</si>
  <si>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</si>
  <si>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</si>
  <si>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</si>
  <si>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</si>
  <si>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</si>
  <si>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</si>
  <si>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</si>
  <si>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</si>
  <si>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</si>
  <si>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</si>
  <si>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</si>
  <si>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</si>
  <si>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</si>
  <si>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</si>
  <si>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</si>
  <si>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</si>
  <si>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</si>
  <si>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</si>
  <si>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</si>
  <si>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</si>
  <si>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</si>
  <si>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</si>
  <si>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</si>
  <si>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</si>
  <si>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</si>
  <si>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</si>
  <si>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</si>
  <si>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</si>
  <si>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</si>
  <si>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</si>
  <si>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</si>
  <si>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</si>
  <si>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</si>
  <si>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</si>
  <si>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</si>
  <si>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</si>
  <si>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</si>
  <si>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</si>
  <si>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</si>
  <si>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</si>
  <si>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</si>
  <si>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</si>
  <si>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</si>
  <si>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</si>
  <si>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</si>
  <si>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</si>
  <si>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</si>
  <si>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</si>
  <si>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</si>
  <si>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</si>
  <si>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</si>
  <si>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</si>
  <si>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</si>
  <si>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</si>
  <si>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</si>
  <si>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</si>
  <si>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</si>
  <si>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</si>
  <si>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</si>
  <si>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</si>
  <si>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</si>
  <si>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</si>
  <si>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</si>
  <si>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</si>
  <si>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</si>
  <si>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</si>
  <si>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</si>
  <si>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</si>
  <si>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</si>
  <si>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</si>
  <si>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</si>
  <si>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</si>
  <si>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</si>
  <si>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</si>
  <si>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</si>
  <si>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</si>
  <si>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</si>
  <si>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</si>
  <si>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</si>
  <si>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</si>
  <si>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</si>
  <si>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</si>
  <si>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</si>
  <si>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</si>
  <si>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</si>
  <si>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</si>
  <si>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</si>
  <si>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</si>
  <si>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</si>
  <si>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</si>
  <si>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</si>
  <si>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</si>
  <si>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</si>
  <si>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</si>
  <si>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</si>
  <si>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</si>
  <si>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</si>
  <si>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</si>
  <si>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</si>
  <si>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</si>
  <si>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</si>
  <si>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</si>
  <si>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</si>
  <si>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</si>
  <si>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</si>
  <si>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</si>
  <si>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</si>
  <si>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</si>
  <si>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</si>
  <si>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</si>
  <si>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</si>
  <si>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</si>
  <si>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</si>
  <si>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</si>
  <si>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</si>
  <si>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</si>
  <si>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</si>
  <si>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</si>
  <si>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</si>
  <si>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</si>
  <si>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</si>
  <si>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</si>
  <si>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</si>
  <si>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</si>
  <si>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</si>
  <si>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</si>
  <si>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</si>
  <si>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</si>
  <si>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</si>
  <si>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</si>
  <si>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</si>
  <si>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</si>
  <si>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</si>
  <si>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</si>
  <si>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</si>
  <si>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</si>
  <si>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</si>
  <si>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</si>
  <si>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</si>
  <si>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</si>
  <si>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</si>
  <si>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</si>
  <si>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</si>
  <si>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</si>
  <si>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</si>
  <si>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</si>
  <si>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</si>
  <si>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</si>
  <si>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</si>
  <si>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</si>
  <si>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</si>
  <si>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</si>
  <si>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</si>
  <si>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</si>
  <si>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</si>
  <si>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</si>
  <si>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</si>
  <si>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</si>
  <si>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</si>
  <si>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</si>
  <si>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</si>
  <si>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</si>
  <si>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</si>
  <si>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</si>
  <si>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</si>
  <si>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</si>
  <si>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</si>
  <si>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</si>
  <si>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</si>
  <si>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</si>
  <si>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</si>
  <si>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</si>
  <si>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</si>
  <si>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</si>
  <si>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</si>
  <si>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</si>
  <si>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</si>
  <si>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</si>
  <si>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</si>
  <si>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</si>
  <si>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</si>
  <si>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</si>
  <si>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</si>
  <si>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</si>
  <si>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</si>
  <si>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</si>
  <si>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</si>
  <si>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</si>
  <si>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</si>
  <si>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</si>
  <si>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</si>
  <si>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</si>
  <si>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</si>
  <si>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</si>
  <si>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</si>
  <si>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</si>
  <si>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</si>
  <si>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</si>
  <si>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</si>
  <si>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</si>
  <si>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</si>
  <si>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</si>
  <si>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</si>
  <si>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</si>
  <si>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</si>
  <si>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</si>
  <si>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</si>
  <si>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</si>
  <si>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</si>
  <si>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</si>
  <si>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</si>
  <si>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</si>
  <si>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</si>
  <si>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</si>
  <si>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</si>
  <si>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</si>
  <si>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</si>
  <si>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</si>
  <si>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</si>
  <si>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</si>
  <si>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</si>
  <si>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</si>
  <si>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</si>
  <si>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</si>
  <si>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</si>
  <si>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</si>
  <si>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</si>
  <si>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</si>
  <si>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</si>
  <si>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</si>
  <si>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</si>
  <si>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</si>
  <si>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</si>
  <si>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</si>
  <si>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</si>
  <si>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</si>
  <si>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</si>
  <si>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</si>
  <si>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</si>
  <si>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</si>
  <si>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</si>
  <si>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</si>
  <si>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</si>
  <si>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</si>
  <si>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</si>
  <si>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</si>
  <si>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</si>
  <si>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</si>
  <si>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</si>
  <si>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</si>
  <si>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</si>
  <si>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</si>
  <si>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</si>
  <si>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</si>
  <si>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</si>
  <si>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</si>
  <si>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</si>
  <si>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</si>
  <si>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</si>
  <si>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</si>
  <si>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</si>
  <si>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</si>
  <si>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</si>
  <si>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</si>
  <si>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</si>
  <si>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</si>
  <si>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</si>
  <si>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</si>
  <si>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</si>
  <si>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</si>
  <si>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</si>
  <si>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</si>
  <si>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</si>
  <si>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</si>
  <si>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</si>
  <si>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</si>
  <si>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</si>
  <si>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</si>
  <si>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</si>
  <si>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</si>
  <si>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</si>
  <si>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</si>
  <si>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</si>
  <si>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</si>
  <si>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</si>
  <si>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</si>
  <si>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</si>
  <si>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</si>
  <si>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</si>
  <si>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</si>
  <si>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</si>
  <si>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</si>
  <si>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</si>
  <si>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</si>
  <si>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</si>
  <si>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</si>
  <si>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</si>
  <si>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</si>
  <si>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</si>
  <si>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</si>
  <si>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</si>
  <si>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</si>
  <si>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</si>
  <si>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</si>
  <si>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</si>
  <si>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</si>
  <si>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</si>
  <si>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</si>
  <si>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</si>
  <si>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</si>
  <si>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</si>
  <si>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</si>
  <si>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</si>
  <si>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</si>
  <si>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</si>
  <si>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</si>
  <si>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</si>
  <si>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</si>
  <si>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</si>
  <si>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</si>
  <si>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</si>
  <si>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</si>
  <si>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</si>
  <si>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</si>
  <si>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</si>
  <si>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</si>
  <si>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</si>
  <si>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</si>
  <si>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</si>
  <si>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</si>
  <si>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</si>
  <si>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</si>
  <si>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</si>
  <si>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</si>
  <si>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</si>
  <si>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</si>
  <si>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</si>
  <si>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</si>
  <si>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</si>
  <si>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</si>
  <si>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</si>
  <si>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</si>
  <si>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</si>
  <si>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</si>
  <si>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</si>
  <si>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</si>
  <si>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</si>
  <si>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</si>
  <si>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</si>
  <si>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</si>
  <si>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</si>
  <si>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</si>
  <si>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</si>
  <si>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</si>
  <si>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</si>
  <si>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</si>
  <si>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</si>
  <si>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</si>
  <si>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</si>
  <si>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</si>
  <si>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</si>
  <si>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</si>
  <si>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</si>
  <si>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</si>
  <si>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</si>
  <si>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</si>
  <si>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</si>
  <si>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</si>
  <si>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</si>
  <si>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</si>
  <si>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</si>
  <si>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</si>
  <si>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</si>
  <si>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</si>
  <si>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</si>
  <si>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</si>
  <si>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</si>
  <si>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</si>
  <si>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</si>
  <si>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</si>
  <si>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</si>
  <si>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</si>
  <si>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</si>
  <si>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</si>
  <si>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</si>
  <si>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</si>
  <si>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</si>
  <si>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</si>
  <si>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</si>
  <si>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</si>
  <si>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</si>
  <si>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</si>
  <si>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</si>
  <si>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</si>
  <si>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</si>
  <si>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</si>
  <si>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</si>
  <si>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</si>
  <si>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</si>
  <si>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</si>
  <si>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</si>
  <si>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</si>
  <si>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</si>
  <si>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</si>
  <si>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</si>
  <si>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</si>
  <si>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</si>
  <si>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</si>
  <si>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</si>
  <si>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</si>
  <si>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</si>
  <si>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</si>
  <si>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</si>
  <si>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</si>
  <si>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</si>
  <si>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</si>
  <si>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</si>
  <si>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</si>
  <si>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</si>
  <si>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</si>
  <si>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</si>
  <si>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</si>
  <si>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</si>
  <si>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</si>
  <si>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</si>
  <si>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</si>
  <si>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</si>
  <si>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</si>
  <si>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</si>
  <si>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</si>
  <si>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</si>
  <si>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</si>
  <si>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</si>
  <si>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</si>
  <si>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</si>
  <si>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</si>
  <si>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</si>
  <si>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</si>
  <si>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</si>
  <si>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</si>
  <si>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</si>
  <si>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</si>
  <si>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</si>
  <si>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</si>
  <si>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</si>
  <si>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</si>
  <si>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</si>
  <si>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</si>
  <si>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</si>
  <si>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</si>
  <si>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</si>
  <si>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</si>
  <si>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</si>
  <si>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</si>
  <si>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</si>
  <si>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</si>
  <si>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</si>
  <si>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</si>
  <si>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</si>
  <si>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</si>
  <si>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</si>
  <si>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</si>
  <si>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</si>
  <si>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</si>
  <si>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</si>
  <si>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</si>
  <si>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</si>
  <si>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</si>
  <si>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</si>
  <si>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</si>
  <si>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</si>
  <si>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</si>
  <si>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</si>
  <si>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</si>
  <si>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</si>
  <si>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</si>
  <si>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</si>
  <si>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</si>
  <si>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</si>
  <si>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</si>
  <si>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</si>
  <si>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</si>
  <si>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</si>
  <si>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</si>
  <si>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</si>
  <si>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</si>
  <si>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</si>
  <si>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</si>
  <si>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</si>
  <si>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</si>
  <si>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</si>
  <si>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</si>
  <si>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</si>
  <si>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</si>
  <si>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</si>
  <si>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</si>
  <si>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</si>
  <si>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</si>
  <si>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</si>
  <si>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</si>
  <si>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</si>
  <si>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</si>
  <si>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</si>
  <si>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</si>
  <si>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</si>
  <si>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</si>
  <si>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</si>
  <si>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</si>
  <si>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</si>
  <si>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</si>
  <si>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</si>
  <si>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</si>
  <si>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</si>
  <si>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</si>
  <si>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</si>
  <si>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</si>
  <si>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</si>
  <si>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</si>
  <si>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</si>
  <si>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</si>
  <si>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</si>
  <si>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</si>
  <si>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</si>
  <si>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</si>
  <si>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</si>
  <si>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</si>
  <si>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</si>
  <si>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</si>
  <si>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</si>
  <si>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</si>
  <si>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</si>
  <si>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</si>
  <si>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</si>
  <si>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</si>
  <si>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</si>
  <si>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</si>
  <si>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</si>
  <si>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</si>
  <si>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</si>
  <si>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</si>
  <si>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</si>
  <si>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</si>
  <si>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</si>
  <si>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</si>
  <si>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</si>
  <si>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</si>
  <si>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</si>
  <si>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</si>
  <si>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</si>
  <si>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</si>
  <si>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</si>
  <si>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</si>
  <si>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</si>
  <si>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</si>
  <si>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</si>
  <si>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</si>
  <si>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</si>
  <si>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</si>
  <si>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</si>
  <si>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</si>
  <si>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</si>
  <si>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</si>
  <si>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</si>
  <si>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</si>
  <si>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</si>
  <si>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</si>
  <si>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</si>
  <si>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</si>
  <si>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</si>
  <si>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</si>
  <si>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</si>
  <si>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</si>
  <si>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</si>
  <si>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</si>
  <si>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</si>
  <si>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</si>
  <si>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</si>
  <si>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</si>
  <si>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</si>
  <si>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</si>
  <si>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</si>
  <si>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</si>
  <si>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</si>
  <si>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</si>
  <si>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</si>
  <si>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</si>
  <si>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</si>
  <si>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</si>
  <si>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</si>
  <si>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</si>
  <si>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</si>
  <si>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</si>
  <si>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</si>
  <si>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</si>
  <si>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</si>
  <si>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</si>
  <si>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</si>
  <si>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</si>
  <si>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</si>
  <si>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</si>
  <si>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</si>
  <si>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</si>
  <si>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</si>
  <si>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</si>
  <si>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</si>
  <si>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</si>
  <si>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</si>
  <si>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</si>
  <si>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</si>
  <si>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</si>
  <si>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</si>
  <si>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</si>
  <si>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</si>
  <si>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</si>
  <si>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</si>
  <si>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</si>
  <si>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</si>
  <si>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</si>
  <si>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</si>
  <si>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</si>
  <si>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</si>
  <si>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</si>
  <si>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</si>
  <si>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</si>
  <si>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</si>
  <si>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</si>
  <si>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</si>
  <si>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</si>
  <si>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</si>
  <si>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</si>
  <si>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</si>
  <si>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</si>
  <si>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</si>
  <si>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</si>
  <si>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</si>
  <si>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</si>
  <si>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</si>
  <si>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</si>
  <si>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</si>
  <si>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</si>
  <si>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</si>
  <si>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</si>
  <si>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</si>
  <si>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</si>
  <si>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</si>
  <si>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</si>
  <si>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</si>
  <si>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</si>
  <si>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</si>
  <si>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</si>
  <si>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</si>
  <si>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</si>
  <si>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</si>
  <si>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</si>
  <si>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</si>
  <si>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</si>
  <si>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</si>
  <si>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</si>
  <si>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</si>
  <si>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</si>
  <si>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</si>
  <si>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</si>
  <si>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</si>
  <si>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</si>
  <si>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</si>
  <si>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</si>
  <si>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</si>
  <si>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</si>
  <si>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</si>
  <si>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</si>
  <si>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</si>
  <si>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</si>
  <si>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</si>
  <si>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</si>
  <si>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</si>
  <si>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</si>
  <si>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</si>
  <si>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</si>
  <si>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</si>
  <si>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</si>
  <si>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</si>
  <si>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</si>
  <si>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</si>
  <si>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</si>
  <si>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</si>
  <si>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</si>
  <si>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</si>
  <si>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</si>
  <si>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</si>
  <si>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</si>
  <si>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</si>
  <si>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</si>
  <si>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</si>
  <si>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</si>
  <si>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</si>
  <si>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</si>
  <si>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</si>
  <si>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</si>
  <si>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</si>
  <si>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</si>
  <si>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</si>
  <si>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</si>
  <si>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</si>
  <si>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</si>
  <si>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</si>
  <si>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</si>
  <si>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</si>
  <si>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</si>
  <si>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</si>
  <si>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</si>
  <si>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</si>
  <si>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</si>
  <si>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</si>
  <si>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</si>
  <si>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</si>
  <si>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</si>
  <si>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</si>
  <si>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</si>
  <si>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</si>
  <si>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</si>
  <si>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</si>
  <si>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</si>
  <si>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</si>
  <si>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</si>
  <si>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</si>
  <si>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</si>
  <si>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</si>
  <si>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</si>
  <si>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</si>
  <si>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</si>
  <si>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</si>
  <si>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</si>
  <si>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</si>
  <si>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</si>
  <si>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</si>
  <si>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</si>
  <si>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</si>
  <si>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</si>
  <si>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</si>
  <si>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</si>
  <si>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</si>
  <si>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</si>
  <si>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</si>
  <si>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</si>
  <si>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</si>
  <si>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</si>
  <si>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</si>
  <si>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</si>
  <si>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</si>
  <si>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</si>
  <si>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</si>
  <si>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</si>
  <si>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</si>
  <si>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</si>
  <si>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</si>
  <si>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</si>
  <si>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</si>
  <si>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</si>
  <si>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</si>
  <si>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</si>
  <si>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</si>
  <si>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</si>
  <si>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</si>
  <si>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</si>
  <si>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</si>
  <si>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</si>
  <si>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</si>
  <si>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</si>
  <si>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</si>
  <si>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</si>
  <si>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</si>
  <si>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</si>
  <si>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</si>
  <si>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</si>
  <si>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</si>
  <si>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</si>
  <si>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</si>
  <si>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</si>
  <si>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</si>
  <si>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</si>
  <si>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</si>
  <si>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</si>
  <si>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</si>
  <si>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</si>
  <si>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</si>
  <si>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</si>
  <si>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</si>
  <si>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</si>
  <si>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</si>
  <si>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</si>
  <si>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</si>
  <si>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</si>
  <si>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</si>
  <si>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</si>
  <si>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</si>
  <si>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</si>
  <si>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</si>
  <si>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</si>
  <si>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</si>
  <si>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</si>
  <si>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</si>
  <si>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</si>
  <si>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</si>
  <si>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</si>
  <si>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</si>
  <si>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</si>
  <si>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</si>
  <si>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</si>
  <si>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</si>
  <si>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</si>
  <si>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</si>
  <si>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</si>
  <si>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</si>
  <si>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</si>
  <si>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</si>
  <si>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</si>
  <si>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</si>
  <si>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</si>
  <si>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</si>
  <si>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</si>
  <si>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</si>
  <si>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</si>
  <si>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</si>
  <si>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</si>
  <si>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</si>
  <si>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</si>
  <si>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</si>
  <si>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</si>
  <si>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</si>
  <si>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</si>
  <si>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</si>
  <si>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</si>
  <si>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</si>
  <si>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</si>
  <si>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</si>
  <si>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</si>
  <si>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</si>
  <si>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</si>
  <si>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</si>
  <si>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</si>
  <si>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</si>
  <si>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</si>
  <si>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</si>
  <si>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</si>
  <si>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</si>
  <si>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</si>
  <si>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</si>
  <si>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</si>
  <si>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</si>
  <si>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</si>
  <si>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</si>
  <si>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</si>
  <si>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</si>
  <si>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</si>
  <si>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</si>
  <si>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</si>
  <si>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</si>
  <si>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</si>
  <si>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</si>
  <si>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</si>
  <si>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</si>
  <si>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</si>
  <si>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</si>
  <si>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</si>
  <si>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</si>
  <si>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</si>
  <si>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</si>
  <si>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</si>
  <si>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</si>
  <si>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</si>
  <si>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</si>
  <si>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</si>
  <si>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</si>
  <si>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</si>
  <si>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</si>
  <si>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</si>
  <si>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</si>
  <si>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</si>
  <si>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</si>
  <si>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</si>
  <si>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</si>
  <si>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</si>
  <si>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</si>
  <si>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</si>
  <si>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</si>
  <si>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</si>
  <si>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</si>
  <si>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</si>
  <si>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</si>
  <si>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</si>
  <si>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</si>
  <si>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</si>
  <si>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</si>
  <si>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</si>
  <si>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</si>
  <si>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</si>
  <si>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</si>
  <si>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</si>
  <si>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</si>
  <si>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</si>
  <si>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</si>
  <si>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</si>
  <si>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</si>
  <si>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</si>
  <si>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</si>
  <si>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</si>
  <si>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</si>
  <si>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</si>
  <si>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</si>
  <si>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</si>
  <si>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</si>
  <si>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</si>
  <si>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</si>
  <si>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</si>
  <si>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</si>
  <si>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</si>
  <si>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</si>
  <si>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</si>
  <si>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</si>
  <si>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</si>
  <si>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</si>
  <si>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</si>
  <si>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</si>
  <si>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</si>
  <si>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</si>
  <si>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</si>
  <si>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</si>
  <si>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</si>
  <si>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</si>
  <si>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</si>
  <si>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</si>
  <si>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</si>
  <si>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</si>
  <si>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</si>
  <si>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</si>
  <si>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</si>
  <si>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</si>
  <si>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</si>
  <si>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</si>
  <si>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</si>
  <si>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</si>
  <si>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</si>
  <si>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</si>
  <si>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</si>
  <si>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</si>
  <si>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</si>
  <si>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</si>
  <si>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</si>
  <si>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</si>
  <si>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</si>
  <si>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</si>
  <si>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</si>
  <si>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</si>
  <si>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</si>
  <si>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</si>
  <si>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</si>
  <si>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</si>
  <si>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</si>
  <si>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</si>
  <si>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</si>
  <si>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</si>
  <si>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</si>
  <si>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</si>
  <si>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</si>
  <si>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</si>
  <si>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</si>
  <si>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</si>
  <si>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</si>
  <si>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</si>
  <si>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</si>
  <si>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</si>
  <si>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</si>
  <si>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</si>
  <si>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</si>
  <si>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</si>
  <si>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</si>
  <si>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</si>
  <si>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</si>
  <si>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</si>
  <si>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</si>
  <si>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</si>
  <si>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</si>
  <si>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</si>
  <si>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</si>
  <si>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</si>
  <si>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</si>
  <si>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</si>
  <si>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</si>
  <si>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</si>
  <si>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</si>
  <si>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</si>
  <si>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</si>
  <si>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</si>
  <si>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</si>
  <si>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</si>
  <si>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</si>
  <si>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</si>
  <si>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</si>
  <si>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</si>
  <si>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</si>
  <si>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</si>
  <si>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</si>
  <si>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</si>
  <si>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</si>
  <si>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</si>
  <si>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</si>
  <si>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</si>
  <si>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</si>
  <si>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</si>
  <si>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</si>
  <si>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</si>
  <si>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</si>
  <si>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</si>
  <si>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</si>
  <si>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</si>
  <si>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</si>
  <si>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</si>
  <si>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</si>
  <si>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</si>
  <si>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</si>
  <si>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</si>
  <si>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</si>
  <si>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</si>
  <si>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</si>
  <si>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</si>
  <si>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</si>
  <si>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</si>
  <si>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</si>
  <si>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</si>
  <si>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</si>
  <si>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</si>
  <si>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</si>
  <si>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</si>
  <si>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</si>
  <si>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</si>
  <si>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</si>
  <si>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</si>
  <si>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</si>
  <si>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</si>
  <si>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</si>
  <si>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</si>
  <si>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</si>
  <si>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</si>
  <si>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</si>
  <si>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</si>
  <si>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</si>
  <si>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</si>
  <si>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</si>
  <si>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</si>
  <si>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</si>
  <si>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</si>
  <si>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</si>
  <si>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</si>
  <si>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</si>
  <si>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</si>
  <si>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</si>
  <si>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</si>
  <si>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</si>
  <si>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</si>
  <si>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</si>
  <si>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</si>
  <si>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</si>
  <si>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</si>
  <si>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</si>
  <si>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</si>
  <si>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</si>
  <si>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</si>
  <si>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</si>
  <si>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</si>
  <si>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</si>
  <si>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</si>
  <si>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</si>
  <si>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</si>
  <si>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</si>
  <si>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</si>
  <si>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</si>
  <si>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</si>
  <si>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</si>
  <si>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</si>
  <si>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</si>
  <si>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</si>
  <si>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</si>
  <si>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</si>
  <si>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</si>
  <si>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</si>
  <si>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</si>
  <si>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</si>
  <si>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</si>
  <si>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</si>
  <si>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</si>
  <si>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</si>
  <si>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</si>
  <si>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</si>
  <si>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</si>
  <si>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</si>
  <si>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</si>
  <si>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</si>
  <si>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</si>
  <si>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</si>
  <si>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</si>
  <si>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</si>
  <si>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</si>
  <si>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</si>
  <si>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</si>
  <si>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</si>
  <si>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</si>
  <si>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</si>
  <si>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</si>
  <si>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</si>
  <si>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</si>
  <si>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</si>
  <si>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</si>
  <si>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</si>
  <si>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</si>
  <si>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</si>
  <si>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</si>
  <si>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</si>
  <si>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</si>
  <si>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</si>
  <si>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</si>
  <si>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</si>
  <si>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</si>
  <si>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</si>
  <si>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</si>
  <si>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</si>
  <si>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</si>
  <si>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</si>
  <si>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</si>
  <si>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</si>
  <si>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</si>
  <si>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</si>
  <si>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</si>
  <si>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</si>
  <si>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</si>
  <si>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</si>
  <si>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</si>
  <si>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</si>
  <si>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</si>
  <si>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</si>
  <si>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</si>
  <si>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</si>
  <si>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</si>
  <si>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</si>
  <si>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</si>
  <si>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</si>
  <si>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</si>
  <si>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</si>
  <si>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</si>
  <si>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</si>
  <si>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</si>
  <si>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</si>
  <si>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</si>
  <si>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</si>
  <si>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</si>
  <si>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</si>
  <si>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</si>
  <si>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</si>
  <si>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</si>
  <si>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</si>
  <si>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</si>
  <si>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</si>
  <si>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</si>
  <si>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</si>
  <si>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</si>
  <si>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</si>
  <si>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</si>
  <si>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</si>
  <si>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</si>
  <si>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</si>
  <si>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</si>
  <si>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</si>
  <si>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</si>
  <si>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</si>
  <si>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</si>
  <si>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</si>
  <si>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</si>
  <si>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</si>
  <si>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</si>
  <si>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</si>
  <si>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</si>
  <si>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</si>
  <si>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</si>
  <si>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</si>
  <si>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</si>
  <si>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</si>
  <si>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</si>
  <si>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</si>
  <si>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</si>
  <si>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</si>
  <si>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</si>
  <si>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</si>
  <si>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</si>
  <si>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</si>
  <si>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</si>
  <si>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</si>
  <si>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</si>
  <si>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</si>
  <si>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</si>
  <si>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</si>
  <si>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</si>
  <si>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</si>
  <si>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</si>
  <si>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</si>
  <si>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</si>
  <si>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</si>
  <si>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</si>
  <si>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</si>
  <si>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</si>
  <si>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</si>
  <si>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</si>
  <si>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</si>
  <si>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</si>
  <si>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</si>
  <si>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</si>
  <si>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</si>
  <si>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</si>
  <si>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</si>
  <si>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</si>
  <si>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</si>
  <si>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</si>
  <si>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</si>
  <si>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</si>
  <si>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</si>
  <si>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</si>
  <si>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</si>
  <si>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</si>
  <si>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</si>
  <si>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</si>
  <si>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</si>
  <si>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</si>
  <si>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</si>
  <si>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</si>
  <si>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</si>
  <si>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</si>
  <si>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</si>
  <si>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</si>
  <si>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</si>
  <si>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</si>
  <si>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</si>
  <si>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</si>
  <si>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</si>
  <si>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</si>
  <si>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</si>
  <si>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</si>
  <si>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</si>
  <si>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</si>
  <si>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</si>
  <si>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</si>
  <si>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</si>
  <si>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</si>
  <si>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</si>
  <si>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</si>
  <si>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</si>
  <si>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</si>
  <si>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</si>
  <si>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</si>
  <si>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</si>
  <si>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</si>
  <si>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</si>
  <si>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</si>
  <si>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</si>
  <si>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</si>
  <si>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</si>
  <si>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</si>
  <si>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</si>
  <si>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</si>
  <si>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</si>
  <si>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</si>
  <si>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</si>
  <si>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</si>
  <si>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</si>
  <si>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</si>
  <si>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</si>
  <si>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</si>
  <si>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</si>
  <si>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</si>
  <si>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</si>
  <si>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</si>
  <si>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</si>
  <si>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</si>
  <si>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</si>
  <si>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</si>
  <si>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</si>
  <si>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</si>
  <si>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</si>
  <si>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</si>
  <si>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</si>
  <si>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</si>
  <si>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</si>
  <si>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</si>
  <si>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</si>
  <si>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</si>
  <si>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</si>
  <si>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</si>
  <si>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</si>
  <si>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</si>
  <si>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</si>
  <si>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</si>
  <si>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</si>
  <si>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</si>
  <si>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</si>
  <si>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</si>
  <si>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</si>
  <si>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</si>
  <si>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</si>
  <si>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</si>
  <si>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</si>
  <si>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</si>
  <si>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</si>
  <si>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</si>
  <si>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</si>
  <si>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</si>
  <si>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</si>
  <si>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</si>
  <si>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</si>
  <si>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</si>
  <si>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</si>
  <si>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</si>
  <si>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</si>
  <si>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</si>
  <si>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</si>
  <si>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</si>
  <si>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</si>
  <si>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</si>
  <si>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</si>
  <si>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</si>
  <si>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</si>
  <si>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</si>
  <si>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</si>
  <si>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</si>
  <si>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</si>
  <si>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</si>
  <si>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</si>
  <si>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</si>
  <si>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</si>
  <si>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</si>
  <si>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</si>
  <si>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</si>
  <si>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</si>
  <si>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</si>
  <si>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</si>
  <si>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</si>
  <si>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</si>
  <si>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</si>
  <si>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</si>
  <si>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</si>
  <si>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</si>
  <si>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</si>
  <si>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</si>
  <si>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</si>
  <si>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</si>
  <si>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</si>
  <si>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</si>
  <si>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</si>
  <si>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</si>
  <si>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</si>
  <si>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</si>
  <si>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</si>
  <si>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</si>
  <si>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</si>
  <si>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</si>
  <si>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</si>
  <si>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</si>
  <si>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</si>
  <si>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</si>
  <si>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</si>
  <si>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</si>
  <si>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</si>
  <si>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</si>
  <si>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</si>
  <si>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</si>
  <si>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</si>
  <si>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</si>
  <si>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</si>
  <si>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</si>
  <si>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</si>
  <si>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</si>
  <si>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</si>
  <si>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</si>
  <si>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</si>
  <si>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</si>
  <si>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</si>
  <si>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</si>
  <si>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</si>
  <si>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</si>
  <si>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</si>
  <si>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</si>
  <si>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</si>
  <si>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</si>
  <si>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</si>
  <si>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</si>
  <si>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</si>
  <si>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</si>
  <si>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</si>
  <si>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</si>
  <si>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</si>
  <si>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</si>
  <si>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</si>
  <si>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</si>
  <si>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</si>
  <si>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</si>
  <si>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</si>
  <si>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</si>
  <si>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</si>
  <si>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</si>
  <si>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</si>
  <si>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</si>
  <si>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</si>
  <si>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</si>
  <si>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</si>
  <si>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</si>
  <si>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</si>
  <si>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</si>
  <si>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</si>
  <si>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</si>
  <si>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</si>
  <si>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</si>
  <si>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</si>
  <si>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</si>
  <si>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</si>
  <si>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</si>
  <si>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</si>
  <si>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</si>
  <si>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</si>
  <si>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</si>
  <si>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</si>
  <si>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</si>
  <si>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</si>
  <si>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</si>
  <si>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</si>
  <si>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</si>
  <si>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</si>
  <si>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</si>
  <si>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</si>
  <si>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</si>
  <si>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</si>
  <si>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</si>
  <si>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</si>
  <si>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</si>
  <si>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</si>
  <si>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</si>
  <si>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</si>
  <si>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</si>
  <si>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</si>
  <si>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</si>
  <si>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</si>
  <si>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</si>
  <si>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</si>
  <si>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</si>
  <si>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</si>
  <si>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</si>
  <si>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</si>
  <si>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</si>
  <si>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</si>
  <si>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</si>
  <si>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</si>
  <si>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</si>
  <si>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</si>
  <si>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</si>
  <si>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</si>
  <si>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</si>
  <si>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</si>
  <si>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</si>
  <si>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</si>
  <si>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</si>
  <si>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</si>
  <si>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</si>
  <si>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</si>
  <si>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</si>
  <si>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</si>
  <si>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</si>
  <si>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</si>
  <si>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</si>
  <si>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</si>
  <si>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</si>
  <si>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</si>
  <si>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</si>
  <si>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</si>
  <si>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</si>
  <si>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</si>
  <si>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</si>
  <si>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</si>
  <si>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</si>
  <si>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</si>
  <si>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</si>
  <si>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</si>
  <si>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</si>
  <si>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</si>
  <si>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</si>
  <si>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</si>
  <si>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</si>
  <si>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</si>
  <si>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</si>
  <si>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</si>
  <si>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</si>
  <si>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</si>
  <si>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</si>
  <si>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</si>
  <si>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</si>
  <si>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</si>
  <si>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</si>
  <si>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</si>
  <si>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</si>
  <si>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</si>
  <si>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</si>
  <si>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</si>
  <si>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</si>
  <si>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</si>
  <si>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</si>
  <si>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</si>
  <si>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</si>
  <si>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</si>
  <si>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</si>
  <si>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</si>
  <si>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</si>
  <si>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</si>
  <si>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</si>
  <si>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</si>
  <si>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</si>
  <si>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</si>
  <si>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</si>
  <si>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</si>
  <si>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</si>
  <si>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</si>
  <si>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</si>
  <si>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</si>
  <si>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</si>
  <si>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</si>
  <si>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</si>
  <si>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</si>
  <si>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</si>
  <si>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</si>
  <si>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</si>
  <si>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</si>
  <si>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</si>
  <si>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</si>
  <si>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</si>
  <si>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</si>
  <si>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</si>
  <si>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</si>
  <si>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</si>
  <si>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</si>
  <si>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</si>
  <si>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</si>
  <si>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</si>
  <si>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</si>
  <si>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</si>
  <si>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</si>
  <si>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</si>
  <si>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</si>
  <si>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</si>
  <si>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</si>
  <si>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</si>
  <si>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</si>
  <si>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</si>
  <si>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</si>
  <si>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</si>
  <si>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</si>
  <si>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</si>
  <si>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</si>
  <si>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</si>
  <si>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</si>
  <si>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</si>
  <si>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</si>
  <si>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</si>
  <si>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</si>
  <si>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</si>
  <si>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</si>
  <si>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</si>
  <si>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</si>
  <si>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</si>
  <si>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</si>
  <si>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</si>
  <si>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</si>
  <si>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</si>
  <si>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</si>
  <si>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</si>
  <si>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</si>
  <si>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</si>
  <si>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</si>
  <si>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</si>
  <si>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</si>
  <si>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</si>
  <si>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</si>
  <si>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</si>
  <si>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</si>
  <si>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</si>
  <si>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</si>
  <si>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</si>
  <si>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</si>
  <si>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</si>
  <si>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</si>
  <si>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</si>
  <si>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</si>
  <si>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</si>
  <si>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</si>
  <si>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</si>
  <si>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</si>
  <si>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</si>
  <si>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</si>
  <si>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</si>
  <si>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</si>
  <si>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</si>
  <si>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</si>
  <si>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</si>
  <si>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</si>
  <si>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</si>
  <si>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</si>
  <si>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</si>
  <si>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</si>
  <si>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</si>
  <si>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</si>
  <si>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</si>
  <si>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</si>
  <si>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</si>
  <si>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</si>
  <si>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</si>
  <si>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</si>
  <si>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</si>
  <si>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</si>
  <si>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</si>
  <si>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</si>
  <si>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</si>
  <si>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</si>
  <si>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</si>
  <si>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</si>
  <si>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</si>
  <si>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</si>
  <si>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</si>
  <si>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</si>
  <si>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</si>
  <si>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</si>
  <si>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</si>
  <si>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</si>
  <si>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</si>
  <si>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</si>
  <si>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</si>
  <si>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</si>
  <si>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</si>
  <si>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</si>
  <si>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</si>
  <si>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</si>
  <si>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</si>
  <si>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</si>
  <si>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</si>
  <si>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</si>
  <si>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</si>
  <si>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</si>
  <si>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</si>
  <si>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</si>
  <si>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</si>
  <si>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</si>
  <si>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</si>
  <si>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</si>
  <si>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</si>
  <si>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</si>
  <si>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</si>
  <si>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</si>
  <si>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</si>
  <si>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</si>
  <si>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</si>
  <si>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</si>
  <si>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</si>
  <si>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</si>
  <si>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</si>
  <si>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</si>
  <si>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</si>
  <si>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</si>
  <si>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</si>
  <si>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</si>
  <si>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</si>
  <si>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</si>
  <si>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</si>
  <si>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</si>
  <si>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</si>
  <si>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</si>
  <si>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</si>
  <si>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</si>
  <si>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</si>
  <si>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</si>
  <si>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</si>
  <si>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</si>
  <si>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</si>
  <si>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</si>
  <si>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</si>
  <si>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</si>
  <si>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</si>
  <si>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</si>
  <si>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</si>
  <si>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</si>
  <si>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</si>
  <si>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</si>
  <si>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</si>
  <si>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</si>
  <si>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</si>
  <si>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</si>
  <si>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</si>
  <si>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</si>
  <si>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</si>
  <si>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</si>
  <si>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</si>
  <si>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</si>
  <si>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</si>
  <si>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</si>
  <si>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</si>
  <si>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</si>
  <si>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</si>
  <si>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</si>
  <si>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</si>
  <si>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</si>
  <si>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</si>
  <si>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</si>
  <si>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</si>
  <si>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</si>
  <si>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</si>
  <si>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</si>
  <si>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</si>
  <si>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</si>
  <si>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</si>
  <si>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</si>
  <si>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</si>
  <si>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</si>
  <si>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</si>
  <si>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</si>
  <si>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</si>
  <si>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</si>
  <si>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</si>
  <si>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</si>
  <si>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</si>
  <si>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</si>
  <si>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</si>
  <si>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</si>
  <si>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</si>
  <si>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</si>
  <si>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</si>
  <si>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</si>
  <si>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</si>
  <si>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</si>
  <si>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</si>
  <si>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</si>
  <si>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</si>
  <si>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</si>
  <si>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</si>
  <si>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</si>
  <si>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</si>
  <si>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</si>
  <si>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</si>
  <si>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</si>
  <si>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</si>
  <si>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</si>
  <si>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</si>
  <si>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</si>
  <si>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</si>
  <si>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</si>
  <si>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</si>
  <si>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</si>
  <si>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</si>
  <si>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</si>
  <si>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</si>
  <si>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</si>
  <si>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</si>
  <si>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</si>
  <si>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</si>
  <si>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</si>
  <si>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</si>
  <si>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</si>
  <si>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</si>
  <si>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</si>
  <si>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</si>
  <si>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</si>
  <si>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</si>
  <si>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</si>
  <si>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</si>
  <si>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</si>
  <si>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</si>
  <si>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</si>
  <si>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</si>
  <si>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</si>
  <si>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</si>
  <si>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</si>
  <si>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</si>
  <si>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</si>
  <si>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</si>
  <si>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</si>
  <si>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</si>
  <si>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</si>
  <si>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</si>
  <si>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</si>
  <si>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</si>
  <si>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</si>
  <si>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</si>
  <si>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</si>
  <si>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</si>
  <si>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</si>
  <si>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</si>
  <si>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</si>
  <si>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</si>
  <si>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</si>
  <si>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</si>
  <si>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</si>
  <si>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</si>
  <si>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</si>
  <si>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</si>
  <si>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</si>
  <si>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</si>
  <si>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</si>
  <si>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</si>
  <si>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</si>
  <si>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</si>
  <si>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</si>
  <si>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</si>
  <si>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</si>
  <si>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</si>
  <si>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</si>
  <si>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</si>
  <si>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</si>
  <si>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</si>
  <si>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</si>
  <si>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</si>
  <si>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</si>
  <si>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</si>
  <si>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</si>
  <si>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</si>
  <si>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</si>
  <si>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</si>
  <si>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</si>
  <si>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</si>
  <si>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</si>
  <si>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</si>
  <si>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</si>
  <si>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</si>
  <si>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</si>
  <si>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</si>
  <si>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</si>
  <si>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</si>
  <si>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</si>
  <si>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</si>
  <si>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</si>
  <si>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</si>
  <si>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</si>
  <si>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</si>
  <si>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</si>
  <si>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</si>
  <si>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</si>
  <si>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</si>
  <si>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</si>
  <si>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</si>
  <si>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</si>
  <si>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</si>
  <si>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</si>
  <si>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</si>
  <si>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</si>
  <si>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</si>
  <si>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</si>
  <si>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</si>
  <si>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</si>
  <si>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</si>
  <si>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</si>
  <si>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</si>
  <si>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</si>
  <si>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</si>
  <si>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</si>
  <si>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</si>
  <si>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</si>
  <si>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</si>
  <si>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</si>
  <si>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</si>
  <si>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</si>
  <si>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</si>
  <si>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</si>
  <si>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</si>
  <si>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</si>
  <si>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</si>
  <si>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</si>
  <si>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</si>
  <si>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</si>
  <si>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</si>
  <si>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</si>
  <si>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</si>
  <si>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</si>
  <si>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</si>
  <si>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</si>
  <si>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</si>
  <si>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</si>
  <si>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</si>
  <si>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</si>
  <si>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</si>
  <si>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</si>
  <si>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</si>
  <si>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</si>
  <si>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</si>
  <si>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</si>
  <si>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</si>
  <si>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</si>
  <si>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</si>
  <si>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</si>
  <si>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</si>
  <si>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</si>
  <si>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</si>
  <si>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</si>
  <si>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</si>
  <si>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</si>
  <si>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</si>
  <si>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</si>
  <si>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</si>
  <si>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</si>
  <si>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</si>
  <si>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</si>
  <si>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</si>
  <si>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</si>
  <si>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</si>
  <si>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</si>
  <si>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</si>
  <si>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</si>
  <si>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</si>
  <si>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</si>
  <si>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</si>
  <si>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</si>
  <si>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</si>
  <si>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</si>
  <si>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</si>
  <si>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</si>
  <si>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</si>
  <si>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</si>
  <si>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</si>
  <si>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</si>
  <si>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</si>
  <si>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</si>
  <si>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</si>
  <si>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</si>
  <si>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</si>
  <si>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</si>
  <si>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</si>
  <si>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</si>
  <si>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</si>
  <si>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</si>
  <si>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</si>
  <si>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</si>
  <si>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</si>
  <si>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</si>
  <si>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</si>
  <si>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</si>
  <si>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</si>
  <si>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</si>
  <si>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</si>
  <si>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</si>
  <si>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</si>
  <si>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</si>
  <si>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</si>
  <si>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</si>
  <si>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</si>
  <si>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</si>
  <si>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</si>
  <si>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</si>
  <si>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</si>
  <si>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</si>
  <si>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</si>
  <si>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</si>
  <si>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</si>
  <si>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</si>
  <si>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</si>
  <si>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</si>
  <si>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</si>
  <si>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</si>
  <si>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</si>
  <si>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</si>
  <si>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</si>
  <si>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</si>
  <si>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</si>
  <si>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</si>
  <si>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</si>
  <si>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</si>
  <si>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</si>
  <si>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</si>
  <si>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</si>
  <si>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</si>
  <si>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</si>
  <si>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</si>
  <si>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</si>
  <si>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</si>
  <si>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</si>
  <si>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</si>
  <si>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</si>
  <si>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</si>
  <si>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</si>
  <si>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</si>
  <si>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</si>
  <si>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</si>
  <si>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</si>
  <si>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</si>
  <si>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</si>
  <si>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</si>
  <si>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</si>
  <si>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</si>
  <si>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</si>
  <si>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</si>
  <si>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</si>
  <si>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</si>
  <si>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</si>
  <si>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</si>
  <si>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</si>
  <si>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</si>
  <si>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</si>
  <si>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</si>
  <si>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</si>
  <si>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</si>
  <si>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</si>
  <si>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</si>
  <si>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</si>
  <si>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</si>
  <si>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</si>
  <si>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</si>
  <si>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</si>
  <si>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</si>
  <si>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</si>
  <si>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</si>
  <si>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</si>
  <si>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</si>
  <si>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</si>
  <si>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</si>
  <si>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</si>
  <si>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</si>
  <si>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</si>
  <si>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</si>
  <si>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</si>
  <si>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</si>
  <si>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</si>
  <si>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</si>
  <si>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</si>
  <si>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</si>
  <si>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</si>
  <si>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</si>
  <si>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</si>
  <si>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</si>
  <si>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</si>
  <si>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</si>
  <si>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</si>
  <si>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</si>
  <si>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</si>
  <si>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</si>
  <si>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</si>
  <si>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</si>
  <si>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</si>
  <si>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</si>
  <si>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</si>
  <si>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</si>
  <si>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</si>
  <si>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</si>
  <si>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</si>
  <si>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</si>
  <si>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</si>
  <si>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</si>
  <si>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</si>
  <si>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</si>
  <si>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</si>
  <si>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</si>
  <si>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</si>
  <si>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</si>
  <si>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</si>
  <si>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</si>
  <si>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</si>
  <si>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</si>
  <si>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</si>
  <si>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</si>
  <si>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</si>
  <si>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</si>
  <si>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</si>
  <si>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</si>
  <si>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</si>
  <si>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</si>
  <si>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</si>
  <si>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</si>
  <si>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</si>
  <si>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</si>
  <si>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</si>
  <si>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</si>
  <si>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</si>
  <si>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</si>
  <si>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</si>
  <si>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</si>
  <si>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</si>
  <si>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</si>
  <si>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</si>
  <si>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</si>
  <si>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</si>
  <si>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</si>
  <si>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</si>
  <si>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</si>
  <si>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</si>
  <si>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</si>
  <si>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</si>
  <si>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</si>
  <si>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</si>
  <si>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</si>
  <si>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</si>
  <si>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</si>
  <si>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</si>
  <si>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</si>
  <si>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</si>
  <si>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</si>
  <si>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</si>
  <si>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</si>
  <si>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</si>
  <si>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</si>
  <si>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</si>
  <si>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</si>
  <si>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</si>
  <si>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</si>
  <si>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</si>
  <si>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</si>
  <si>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</si>
  <si>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</si>
  <si>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</si>
  <si>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</si>
  <si>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</si>
  <si>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</si>
  <si>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</si>
  <si>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</si>
  <si>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</si>
  <si>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</si>
  <si>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</si>
  <si>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</si>
  <si>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</si>
  <si>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</si>
  <si>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</si>
  <si>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</si>
  <si>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</si>
  <si>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</si>
  <si>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</si>
  <si>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</si>
  <si>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</si>
  <si>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</si>
  <si>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</si>
  <si>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</si>
  <si>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</si>
  <si>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</si>
  <si>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</si>
  <si>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</si>
  <si>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</si>
  <si>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</si>
  <si>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</si>
  <si>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</si>
  <si>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</si>
  <si>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</si>
  <si>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</si>
  <si>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</si>
  <si>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</si>
  <si>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</si>
  <si>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</si>
  <si>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</si>
  <si>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</si>
  <si>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</si>
  <si>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</si>
  <si>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</si>
  <si>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</si>
  <si>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</si>
  <si>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</si>
  <si>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</si>
  <si>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</si>
  <si>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</si>
  <si>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</si>
  <si>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</si>
  <si>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</si>
  <si>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</si>
  <si>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</si>
  <si>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</si>
  <si>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</si>
  <si>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</si>
  <si>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</si>
  <si>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</si>
  <si>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</si>
  <si>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</si>
  <si>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</si>
  <si>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</si>
  <si>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</si>
  <si>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</si>
  <si>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</si>
  <si>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</si>
  <si>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</si>
  <si>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</si>
  <si>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</si>
  <si>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</si>
  <si>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</si>
  <si>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</si>
  <si>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</si>
  <si>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</si>
  <si>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</si>
  <si>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</si>
  <si>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</si>
  <si>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</si>
  <si>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</si>
  <si>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</si>
  <si>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</si>
  <si>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</si>
  <si>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</si>
  <si>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</si>
  <si>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</si>
  <si>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</si>
  <si>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</si>
  <si>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</si>
  <si>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</si>
  <si>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</si>
  <si>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</si>
  <si>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</si>
  <si>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</si>
  <si>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</si>
  <si>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</si>
  <si>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</si>
  <si>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</si>
  <si>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</si>
  <si>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</si>
  <si>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</si>
  <si>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</si>
  <si>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</si>
  <si>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</si>
  <si>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</si>
  <si>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</si>
  <si>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</si>
  <si>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</si>
  <si>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</si>
  <si>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</si>
  <si>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</si>
  <si>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</si>
  <si>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</si>
  <si>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</si>
  <si>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</si>
  <si>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</si>
  <si>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</si>
  <si>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</si>
  <si>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</si>
  <si>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</si>
  <si>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</si>
  <si>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</si>
  <si>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</si>
  <si>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</si>
  <si>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</si>
  <si>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</si>
  <si>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</si>
  <si>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</si>
  <si>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</si>
  <si>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</si>
  <si>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</si>
  <si>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</si>
  <si>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</si>
  <si>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</si>
  <si>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</si>
  <si>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</si>
  <si>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</si>
  <si>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</si>
  <si>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</si>
  <si>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</si>
  <si>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</si>
  <si>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</si>
  <si>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</si>
  <si>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</si>
  <si>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</si>
  <si>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</si>
  <si>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</si>
  <si>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</si>
  <si>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</si>
  <si>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</si>
  <si>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</si>
  <si>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</si>
  <si>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</si>
  <si>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</si>
  <si>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</si>
  <si>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</si>
  <si>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</si>
  <si>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</si>
  <si>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</si>
  <si>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</si>
  <si>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</si>
  <si>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</si>
  <si>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</si>
  <si>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</si>
  <si>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</si>
  <si>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</si>
  <si>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</si>
  <si>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</si>
  <si>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</si>
  <si>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</si>
  <si>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</si>
  <si>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</si>
  <si>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</si>
  <si>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</si>
  <si>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</si>
  <si>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</si>
  <si>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</si>
  <si>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</si>
  <si>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</si>
  <si>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</si>
  <si>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</si>
  <si>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</si>
  <si>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</si>
  <si>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</si>
  <si>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</si>
  <si>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</si>
  <si>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</si>
  <si>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</si>
  <si>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</si>
  <si>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</si>
  <si>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</si>
  <si>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</si>
  <si>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</si>
  <si>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</si>
  <si>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</si>
  <si>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</si>
  <si>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</si>
  <si>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</si>
  <si>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</si>
  <si>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</si>
  <si>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</si>
  <si>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</si>
  <si>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</si>
  <si>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</si>
  <si>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</si>
  <si>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</si>
  <si>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</si>
  <si>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</si>
  <si>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</si>
  <si>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</si>
  <si>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</si>
  <si>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</si>
  <si>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</si>
  <si>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</si>
  <si>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</si>
  <si>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</si>
  <si>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</si>
  <si>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</si>
  <si>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</si>
  <si>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</si>
  <si>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</si>
  <si>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</si>
  <si>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</si>
  <si>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</si>
  <si>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</si>
  <si>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</si>
  <si>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</si>
  <si>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</si>
  <si>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</si>
  <si>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</si>
  <si>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</si>
  <si>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</si>
  <si>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</si>
  <si>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</si>
  <si>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</si>
  <si>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</si>
  <si>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</si>
  <si>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</si>
  <si>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</si>
  <si>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</si>
  <si>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</si>
  <si>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</si>
  <si>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</si>
  <si>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</si>
  <si>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</si>
  <si>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</si>
  <si>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</si>
  <si>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</si>
  <si>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</si>
  <si>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</si>
  <si>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</si>
  <si>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</si>
  <si>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</si>
  <si>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</si>
  <si>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</si>
  <si>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</si>
  <si>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</si>
  <si>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</si>
  <si>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</si>
  <si>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</si>
  <si>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</si>
  <si>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</si>
  <si>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</si>
  <si>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</si>
  <si>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</si>
  <si>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</si>
  <si>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</si>
  <si>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</si>
  <si>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</si>
  <si>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</si>
  <si>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</si>
  <si>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</si>
  <si>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</si>
  <si>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</si>
  <si>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</si>
  <si>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</si>
  <si>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</si>
  <si>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</si>
  <si>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</si>
  <si>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</si>
  <si>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</si>
  <si>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</si>
  <si>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</si>
  <si>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</si>
  <si>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</si>
  <si>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</si>
  <si>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</si>
  <si>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</si>
  <si>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</si>
  <si>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</si>
  <si>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</si>
  <si>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</si>
  <si>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</si>
  <si>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</si>
  <si>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</si>
  <si>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</si>
  <si>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</si>
  <si>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</si>
  <si>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</si>
  <si>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</si>
  <si>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</si>
  <si>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</si>
  <si>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</si>
  <si>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</si>
  <si>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</si>
  <si>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</si>
  <si>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</si>
  <si>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</si>
  <si>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</si>
  <si>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</si>
  <si>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</si>
  <si>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</si>
  <si>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</si>
  <si>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</si>
  <si>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</si>
  <si>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</si>
  <si>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</si>
  <si>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</si>
  <si>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</si>
  <si>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</si>
  <si>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</si>
  <si>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</si>
  <si>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</si>
  <si>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</si>
  <si>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</si>
  <si>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</si>
  <si>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</si>
  <si>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</si>
  <si>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</si>
  <si>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</si>
  <si>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</si>
  <si>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</si>
  <si>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</si>
  <si>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</si>
  <si>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</si>
  <si>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</si>
  <si>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</si>
  <si>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</si>
  <si>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</si>
  <si>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</si>
  <si>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</si>
  <si>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</si>
  <si>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</si>
  <si>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</si>
  <si>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</si>
  <si>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</si>
  <si>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</si>
  <si>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</si>
  <si>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</si>
  <si>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</si>
  <si>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</si>
  <si>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</si>
  <si>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</si>
  <si>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</si>
  <si>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</si>
  <si>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</si>
  <si>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</si>
  <si>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</si>
  <si>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</si>
  <si>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</si>
  <si>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</si>
  <si>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</si>
  <si>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</si>
  <si>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</si>
  <si>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</si>
  <si>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</si>
  <si>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</si>
  <si>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</si>
  <si>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</si>
  <si>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</si>
  <si>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</si>
  <si>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</si>
  <si>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</si>
  <si>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</si>
  <si>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</si>
  <si>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</si>
  <si>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</si>
  <si>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</si>
  <si>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</si>
  <si>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</si>
  <si>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</si>
  <si>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</si>
  <si>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</si>
  <si>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</si>
  <si>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</si>
  <si>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</si>
  <si>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</si>
  <si>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</si>
  <si>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</si>
  <si>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</si>
  <si>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</si>
  <si>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</si>
  <si>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</si>
  <si>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</si>
  <si>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</si>
  <si>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</si>
  <si>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</si>
  <si>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</si>
  <si>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</si>
  <si>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</si>
  <si>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</si>
  <si>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</si>
  <si>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</si>
  <si>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</si>
  <si>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</si>
  <si>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</si>
  <si>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</si>
  <si>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</si>
  <si>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</si>
  <si>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</si>
  <si>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</si>
  <si>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</si>
  <si>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</si>
  <si>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</si>
  <si>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</si>
  <si>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</si>
  <si>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</si>
  <si>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</si>
  <si>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</si>
  <si>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</si>
  <si>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</si>
  <si>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</si>
  <si>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</si>
  <si>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</si>
  <si>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</si>
  <si>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</si>
  <si>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</si>
  <si>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</si>
  <si>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</si>
  <si>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</si>
  <si>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</si>
  <si>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</si>
  <si>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</si>
  <si>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</si>
  <si>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</si>
  <si>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</si>
  <si>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</si>
  <si>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</si>
  <si>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</si>
  <si>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</si>
  <si>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</si>
  <si>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</si>
  <si>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</si>
  <si>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</si>
  <si>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</si>
  <si>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</si>
  <si>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</si>
  <si>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</si>
  <si>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</si>
  <si>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</si>
  <si>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</si>
  <si>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</si>
  <si>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</si>
  <si>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</si>
  <si>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</si>
  <si>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</si>
  <si>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</si>
  <si>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</si>
  <si>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</si>
  <si>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</si>
  <si>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</si>
  <si>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</si>
  <si>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</si>
  <si>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</si>
  <si>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</si>
  <si>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</si>
  <si>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</si>
  <si>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</si>
  <si>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</si>
  <si>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</si>
  <si>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</si>
  <si>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</si>
  <si>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</si>
  <si>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</si>
  <si>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</si>
  <si>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</si>
  <si>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</si>
  <si>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</si>
  <si>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</si>
  <si>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</si>
  <si>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</si>
  <si>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</si>
  <si>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</si>
  <si>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</si>
  <si>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</si>
  <si>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</si>
  <si>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</si>
  <si>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</si>
  <si>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</si>
  <si>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</si>
  <si>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</si>
  <si>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</si>
  <si>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</si>
  <si>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</si>
  <si>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</si>
  <si>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</si>
  <si>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</si>
  <si>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</si>
  <si>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</si>
  <si>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</si>
  <si>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</si>
  <si>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</si>
  <si>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</si>
  <si>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</si>
  <si>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</si>
  <si>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</si>
  <si>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</si>
  <si>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</si>
  <si>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</si>
  <si>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</si>
  <si>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</si>
  <si>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</si>
  <si>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</si>
  <si>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</si>
  <si>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</si>
  <si>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</si>
  <si>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</si>
  <si>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</si>
  <si>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</si>
  <si>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</si>
  <si>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</si>
  <si>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</si>
  <si>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</si>
  <si>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</si>
  <si>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</si>
  <si>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</si>
  <si>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</si>
  <si>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</si>
  <si>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</si>
  <si>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</si>
  <si>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</si>
  <si>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</si>
  <si>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</si>
  <si>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</si>
  <si>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</si>
  <si>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</si>
  <si>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</si>
  <si>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</si>
  <si>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</si>
  <si>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</si>
  <si>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</si>
  <si>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</si>
  <si>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</si>
  <si>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</si>
  <si>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</si>
  <si>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</si>
  <si>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</si>
  <si>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</si>
  <si>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</si>
  <si>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</si>
  <si>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</si>
  <si>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</si>
  <si>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</si>
  <si>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</si>
  <si>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</si>
  <si>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</si>
  <si>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</si>
  <si>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</si>
  <si>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</si>
  <si>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</si>
  <si>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</si>
  <si>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</si>
  <si>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</si>
  <si>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</si>
  <si>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</si>
  <si>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</si>
  <si>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</si>
  <si>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</si>
  <si>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</si>
  <si>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</si>
  <si>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</si>
  <si>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</si>
  <si>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</si>
  <si>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</si>
  <si>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</si>
  <si>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</si>
  <si>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</si>
  <si>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</si>
  <si>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</si>
  <si>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</si>
  <si>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</si>
  <si>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</si>
  <si>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</si>
  <si>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</si>
  <si>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</si>
  <si>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</si>
  <si>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</si>
  <si>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</si>
  <si>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</si>
  <si>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</si>
  <si>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</si>
  <si>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</si>
  <si>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</si>
  <si>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</si>
  <si>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</si>
  <si>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</si>
  <si>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</si>
  <si>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</si>
  <si>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</si>
  <si>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</si>
  <si>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</si>
  <si>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</si>
  <si>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</si>
  <si>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</si>
  <si>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</si>
  <si>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</si>
  <si>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</si>
  <si>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</si>
  <si>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</si>
  <si>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</si>
  <si>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</si>
  <si>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</si>
  <si>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</si>
  <si>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</si>
  <si>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</si>
  <si>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</si>
  <si>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</si>
  <si>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</si>
  <si>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</si>
  <si>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</si>
  <si>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</si>
  <si>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</si>
  <si>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</si>
  <si>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</si>
  <si>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</si>
  <si>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</si>
  <si>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</si>
  <si>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</si>
  <si>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</si>
  <si>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</si>
  <si>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</si>
  <si>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</si>
  <si>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</si>
  <si>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</si>
  <si>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</si>
  <si>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</si>
  <si>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</si>
  <si>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</si>
  <si>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</si>
  <si>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</si>
  <si>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</si>
  <si>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</si>
  <si>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</si>
  <si>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</si>
  <si>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</si>
  <si>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</si>
  <si>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</si>
  <si>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</si>
  <si>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</si>
  <si>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</si>
  <si>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</si>
  <si>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</si>
  <si>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</si>
  <si>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</si>
  <si>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</si>
  <si>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</si>
  <si>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</si>
  <si>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</si>
  <si>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</si>
  <si>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</si>
  <si>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</si>
  <si>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</si>
  <si>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</si>
  <si>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</si>
  <si>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</si>
  <si>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</si>
  <si>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</si>
  <si>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</si>
  <si>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</si>
  <si>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</si>
  <si>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</si>
  <si>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</si>
  <si>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</si>
  <si>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</si>
  <si>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</si>
  <si>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</si>
  <si>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</si>
  <si>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</si>
  <si>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</si>
  <si>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</si>
  <si>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</si>
  <si>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</si>
  <si>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</si>
  <si>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</si>
  <si>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</si>
  <si>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</si>
  <si>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</si>
  <si>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</si>
  <si>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</si>
  <si>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</si>
  <si>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</si>
  <si>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</si>
  <si>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</si>
  <si>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</si>
  <si>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</si>
  <si>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</si>
  <si>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</si>
  <si>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</si>
  <si>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</si>
  <si>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</si>
  <si>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</si>
  <si>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</si>
  <si>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</si>
  <si>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</si>
  <si>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</si>
  <si>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</si>
  <si>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</si>
  <si>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</si>
  <si>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</si>
  <si>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</si>
  <si>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</si>
  <si>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</si>
  <si>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</si>
  <si>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</si>
  <si>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</si>
  <si>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</si>
  <si>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</si>
  <si>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</si>
  <si>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</si>
  <si>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</si>
  <si>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</si>
  <si>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</si>
  <si>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</si>
  <si>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</si>
  <si>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</si>
  <si>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</si>
  <si>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</si>
  <si>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</si>
  <si>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</si>
  <si>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</si>
  <si>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</si>
  <si>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</si>
  <si>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</si>
  <si>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</si>
  <si>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</si>
  <si>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</si>
  <si>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</si>
  <si>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</si>
  <si>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</si>
  <si>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</si>
  <si>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</si>
  <si>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</si>
  <si>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</si>
  <si>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</si>
  <si>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</si>
  <si>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</si>
  <si>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</si>
  <si>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</si>
  <si>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</si>
  <si>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</si>
  <si>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</si>
  <si>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</si>
  <si>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</si>
  <si>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</si>
  <si>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</si>
  <si>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</si>
  <si>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</si>
  <si>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</si>
  <si>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</si>
  <si>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</si>
  <si>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</si>
  <si>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</si>
  <si>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</si>
  <si>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</si>
  <si>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</si>
  <si>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</si>
  <si>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</si>
  <si>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</si>
  <si>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</si>
  <si>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</si>
  <si>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</si>
  <si>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</si>
  <si>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</si>
  <si>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</si>
  <si>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</si>
  <si>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</si>
  <si>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</si>
  <si>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</si>
  <si>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</si>
  <si>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</si>
  <si>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</si>
  <si>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</si>
  <si>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</si>
  <si>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</si>
  <si>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</si>
  <si>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</si>
  <si>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</si>
  <si>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</si>
  <si>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</si>
  <si>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</si>
  <si>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</si>
  <si>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</si>
  <si>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</si>
  <si>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</si>
  <si>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</si>
  <si>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</si>
  <si>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</si>
  <si>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</si>
  <si>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</si>
  <si>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</si>
  <si>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</si>
  <si>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</si>
  <si>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</si>
  <si>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</si>
  <si>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</si>
  <si>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</si>
  <si>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</si>
  <si>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</si>
  <si>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</si>
  <si>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</si>
  <si>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</si>
  <si>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</si>
  <si>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</si>
  <si>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</si>
  <si>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</si>
  <si>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</si>
  <si>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</si>
  <si>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</si>
  <si>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</si>
  <si>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</si>
  <si>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</si>
  <si>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</si>
  <si>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</si>
  <si>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</si>
  <si>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</si>
  <si>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</si>
  <si>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</si>
  <si>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</si>
  <si>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</si>
  <si>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</si>
  <si>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</si>
  <si>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</si>
  <si>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</si>
  <si>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</si>
  <si>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</si>
  <si>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</si>
  <si>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</si>
  <si>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</si>
  <si>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</si>
  <si>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</si>
  <si>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</si>
  <si>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</si>
  <si>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</si>
  <si>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</si>
  <si>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</si>
  <si>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</si>
  <si>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</si>
  <si>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</si>
  <si>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</si>
  <si>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</si>
  <si>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</si>
  <si>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</si>
  <si>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</si>
  <si>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</si>
  <si>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</si>
  <si>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</si>
  <si>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</si>
  <si>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</si>
  <si>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</si>
  <si>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</si>
  <si>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</si>
  <si>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</si>
  <si>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</si>
  <si>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</si>
  <si>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</si>
  <si>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</si>
  <si>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</si>
  <si>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</si>
  <si>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</si>
  <si>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</si>
  <si>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</si>
  <si>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</si>
  <si>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</si>
  <si>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</si>
  <si>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</si>
  <si>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</si>
  <si>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</si>
  <si>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</si>
  <si>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</si>
  <si>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</si>
  <si>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</si>
  <si>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</si>
  <si>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</si>
  <si>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</si>
  <si>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</si>
  <si>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</si>
  <si>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</si>
  <si>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</si>
  <si>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</si>
  <si>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</si>
  <si>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</si>
  <si>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</si>
  <si>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</si>
  <si>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</si>
  <si>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</si>
  <si>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</si>
  <si>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</si>
  <si>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</si>
  <si>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</si>
  <si>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</si>
  <si>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</si>
  <si>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</si>
  <si>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</si>
  <si>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</si>
  <si>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</si>
  <si>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</si>
  <si>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</si>
  <si>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</si>
  <si>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</si>
  <si>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</si>
  <si>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</si>
  <si>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</si>
  <si>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</si>
  <si>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</si>
  <si>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</si>
  <si>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</si>
  <si>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</si>
  <si>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</si>
  <si>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</si>
  <si>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</si>
  <si>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</si>
  <si>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</si>
  <si>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</si>
  <si>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</si>
  <si>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</si>
  <si>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</si>
  <si>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</si>
  <si>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</si>
  <si>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</si>
  <si>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</si>
  <si>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</si>
  <si>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</si>
  <si>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</si>
  <si>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</si>
  <si>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</si>
  <si>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</si>
  <si>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</si>
  <si>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</si>
  <si>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</si>
  <si>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</si>
  <si>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</si>
  <si>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</si>
  <si>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</si>
  <si>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</si>
  <si>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</si>
  <si>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</si>
  <si>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</si>
  <si>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</si>
  <si>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</si>
  <si>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</si>
  <si>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</si>
  <si>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</si>
  <si>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</si>
  <si>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</si>
  <si>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</si>
  <si>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</si>
  <si>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</si>
  <si>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</si>
  <si>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</si>
  <si>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</si>
  <si>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</si>
  <si>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</si>
  <si>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</si>
  <si>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</si>
  <si>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</si>
  <si>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</si>
  <si>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</si>
  <si>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</si>
  <si>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</si>
  <si>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</si>
  <si>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</si>
  <si>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</si>
  <si>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</si>
  <si>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</si>
  <si>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</si>
  <si>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</si>
  <si>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</si>
  <si>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</si>
  <si>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</si>
  <si>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</si>
  <si>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</si>
  <si>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</si>
  <si>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</si>
  <si>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</si>
  <si>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</si>
  <si>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</si>
  <si>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</si>
  <si>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</si>
  <si>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</si>
  <si>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</si>
  <si>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</si>
  <si>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</si>
  <si>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</si>
  <si>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</si>
  <si>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</si>
  <si>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</si>
  <si>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</si>
  <si>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</si>
  <si>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</si>
  <si>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</si>
  <si>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</si>
  <si>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</si>
  <si>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</si>
  <si>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</si>
  <si>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</si>
  <si>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</si>
  <si>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</si>
  <si>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</si>
  <si>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</si>
  <si>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</si>
  <si>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</si>
  <si>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</si>
  <si>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</si>
  <si>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</si>
  <si>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</si>
  <si>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</si>
  <si>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</si>
  <si>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</si>
  <si>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</si>
  <si>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</si>
  <si>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</si>
  <si>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</si>
  <si>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</si>
  <si>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</si>
  <si>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</si>
  <si>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</si>
  <si>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</si>
  <si>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</si>
  <si>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</si>
  <si>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</si>
  <si>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</si>
  <si>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</si>
  <si>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</si>
  <si>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</si>
  <si>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</si>
  <si>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</si>
  <si>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</si>
  <si>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</si>
  <si>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</si>
  <si>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</si>
  <si>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</si>
  <si>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</si>
  <si>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</si>
  <si>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</si>
  <si>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</si>
  <si>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</si>
  <si>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</si>
  <si>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</si>
  <si>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</si>
  <si>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</si>
  <si>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</si>
  <si>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</si>
  <si>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</si>
  <si>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</si>
  <si>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</si>
  <si>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</si>
  <si>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</si>
  <si>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</si>
  <si>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</si>
  <si>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</si>
  <si>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</si>
  <si>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</si>
  <si>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</si>
  <si>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</si>
  <si>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</si>
  <si>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</si>
  <si>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</si>
  <si>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</si>
  <si>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</si>
  <si>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</si>
  <si>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</si>
  <si>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</si>
  <si>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</si>
  <si>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</si>
  <si>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</si>
  <si>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</si>
  <si>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</si>
  <si>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</si>
  <si>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</si>
  <si>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</si>
  <si>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</si>
  <si>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</si>
  <si>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</si>
  <si>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</si>
  <si>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</si>
  <si>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</si>
  <si>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</si>
  <si>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</si>
  <si>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</si>
  <si>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</si>
  <si>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</si>
  <si>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</si>
  <si>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</si>
  <si>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</si>
  <si>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</si>
  <si>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</si>
  <si>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</si>
  <si>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</si>
  <si>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</si>
  <si>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</si>
  <si>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</si>
  <si>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</si>
  <si>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</si>
  <si>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</si>
  <si>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</si>
  <si>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</si>
  <si>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</si>
  <si>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</si>
  <si>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</si>
  <si>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</si>
  <si>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</si>
  <si>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</si>
  <si>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</si>
  <si>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</si>
  <si>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</si>
  <si>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</si>
  <si>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</si>
  <si>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</si>
  <si>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</si>
  <si>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</si>
  <si>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</si>
  <si>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</si>
  <si>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</si>
  <si>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</si>
  <si>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</si>
  <si>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</si>
  <si>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</si>
  <si>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</si>
  <si>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</si>
  <si>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</si>
  <si>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</si>
  <si>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</si>
  <si>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</si>
  <si>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</si>
  <si>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</si>
  <si>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</si>
  <si>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</si>
  <si>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</si>
  <si>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</si>
  <si>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</si>
  <si>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</si>
  <si>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</si>
  <si>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</si>
  <si>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</si>
  <si>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</si>
  <si>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</si>
  <si>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</si>
  <si>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</si>
  <si>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</si>
  <si>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</si>
  <si>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</si>
  <si>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</si>
  <si>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</si>
  <si>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</si>
  <si>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</si>
  <si>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</si>
  <si>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</si>
  <si>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</si>
  <si>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</si>
  <si>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</si>
  <si>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</si>
  <si>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</si>
  <si>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</si>
  <si>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</si>
  <si>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</si>
  <si>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</si>
  <si>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</si>
  <si>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</si>
  <si>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</si>
  <si>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</si>
  <si>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</si>
  <si>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</si>
  <si>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</si>
  <si>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</si>
  <si>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</si>
  <si>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</si>
  <si>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</si>
  <si>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</si>
  <si>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</si>
  <si>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</si>
  <si>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</si>
  <si>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</si>
  <si>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</si>
  <si>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</si>
  <si>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</si>
  <si>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</si>
  <si>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</si>
  <si>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</si>
  <si>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</si>
  <si>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</si>
  <si>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</si>
  <si>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</si>
  <si>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</si>
  <si>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</si>
  <si>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</si>
  <si>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</si>
  <si>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</si>
  <si>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</si>
  <si>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</si>
  <si>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</si>
  <si>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</si>
  <si>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</si>
  <si>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</si>
  <si>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</si>
  <si>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</si>
  <si>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</si>
  <si>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</si>
  <si>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</si>
  <si>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</si>
  <si>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</si>
  <si>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</si>
  <si>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</si>
  <si>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</si>
  <si>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</si>
  <si>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</si>
  <si>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</si>
  <si>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</si>
  <si>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</si>
  <si>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</si>
  <si>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</si>
  <si>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</si>
  <si>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</si>
  <si>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</si>
  <si>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</si>
  <si>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</si>
  <si>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</si>
  <si>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</si>
  <si>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</si>
  <si>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</si>
  <si>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</si>
  <si>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</si>
  <si>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</si>
  <si>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</si>
  <si>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</si>
  <si>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</si>
  <si>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</si>
  <si>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</si>
  <si>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</si>
  <si>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</si>
  <si>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</si>
  <si>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</si>
  <si>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</si>
  <si>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</si>
  <si>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</si>
  <si>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</si>
  <si>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</si>
  <si>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</si>
  <si>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</si>
  <si>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</si>
  <si>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</si>
  <si>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</si>
  <si>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</si>
  <si>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</si>
  <si>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</si>
  <si>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</si>
  <si>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</si>
  <si>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</si>
  <si>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</si>
  <si>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</si>
  <si>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</si>
  <si>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</si>
  <si>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</si>
  <si>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</si>
  <si>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</si>
  <si>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</si>
  <si>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</si>
  <si>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</si>
  <si>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</si>
  <si>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</si>
  <si>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</si>
  <si>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</si>
  <si>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</si>
  <si>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</si>
  <si>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</si>
  <si>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</si>
  <si>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</si>
  <si>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</si>
  <si>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</si>
  <si>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</si>
  <si>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</si>
  <si>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</si>
  <si>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</si>
  <si>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</si>
  <si>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</si>
  <si>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</si>
  <si>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</si>
  <si>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</si>
  <si>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</si>
  <si>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</si>
  <si>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</si>
  <si>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</si>
  <si>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</si>
  <si>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</si>
  <si>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</si>
  <si>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</si>
  <si>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</si>
  <si>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</si>
  <si>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</si>
  <si>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</si>
  <si>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</si>
  <si>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</si>
  <si>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</si>
  <si>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</si>
  <si>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</si>
  <si>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</si>
  <si>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</si>
  <si>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</si>
  <si>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</si>
  <si>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</si>
  <si>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</si>
  <si>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</si>
  <si>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</si>
  <si>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</si>
  <si>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</si>
  <si>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</si>
  <si>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</si>
  <si>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</si>
  <si>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</si>
  <si>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</si>
  <si>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</si>
  <si>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</si>
  <si>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</si>
  <si>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</si>
  <si>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</si>
  <si>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</si>
  <si>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</si>
  <si>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</si>
  <si>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</si>
  <si>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</si>
  <si>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</si>
  <si>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</si>
  <si>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</si>
  <si>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</si>
  <si>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</si>
  <si>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</si>
  <si>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</si>
  <si>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</si>
  <si>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</si>
  <si>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</si>
  <si>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</si>
  <si>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</si>
  <si>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</si>
  <si>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</si>
  <si>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</si>
  <si>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</si>
  <si>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</si>
  <si>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</si>
  <si>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</si>
  <si>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</si>
  <si>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</si>
  <si>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</si>
  <si>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</si>
  <si>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</si>
  <si>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</si>
  <si>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</si>
  <si>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</si>
  <si>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</si>
  <si>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</si>
  <si>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</si>
  <si>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</si>
  <si>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</si>
  <si>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</si>
  <si>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</si>
  <si>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</si>
  <si>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</si>
  <si>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</si>
  <si>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</si>
  <si>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</si>
  <si>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</si>
  <si>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</si>
  <si>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</si>
  <si>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</si>
  <si>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</si>
  <si>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</si>
  <si>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</si>
  <si>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</si>
  <si>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</si>
  <si>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</si>
  <si>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</si>
  <si>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</si>
  <si>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</si>
  <si>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</si>
  <si>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</si>
  <si>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</si>
  <si>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</si>
  <si>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</si>
  <si>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</si>
  <si>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</si>
  <si>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</si>
  <si>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</si>
  <si>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</si>
  <si>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</si>
  <si>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</si>
  <si>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</si>
  <si>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</si>
  <si>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</si>
  <si>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</si>
  <si>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</si>
  <si>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</si>
  <si>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</si>
  <si>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</si>
  <si>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</si>
  <si>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</si>
  <si>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</si>
  <si>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</si>
  <si>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</si>
  <si>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</si>
  <si>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</si>
  <si>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</si>
  <si>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</si>
  <si>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</si>
  <si>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</si>
  <si>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</si>
  <si>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</si>
  <si>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</si>
  <si>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</si>
  <si>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</si>
  <si>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</si>
  <si>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</si>
  <si>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</si>
  <si>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</si>
  <si>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</si>
  <si>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</si>
  <si>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</si>
  <si>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</si>
  <si>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</si>
  <si>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</si>
  <si>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</si>
  <si>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</si>
  <si>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</si>
  <si>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</si>
  <si>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</si>
  <si>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</si>
  <si>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</si>
  <si>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</si>
  <si>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</si>
  <si>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</si>
  <si>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</si>
  <si>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</si>
  <si>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</si>
  <si>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</si>
  <si>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</si>
  <si>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</si>
  <si>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</si>
  <si>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</si>
  <si>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</si>
  <si>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</si>
  <si>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</si>
  <si>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</si>
  <si>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</si>
  <si>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</si>
  <si>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</si>
  <si>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</si>
  <si>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</si>
  <si>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</si>
  <si>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</si>
  <si>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</si>
  <si>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</si>
  <si>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</si>
  <si>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</si>
  <si>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</si>
  <si>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</si>
  <si>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</si>
  <si>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</si>
  <si>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</si>
  <si>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</si>
  <si>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</si>
  <si>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</si>
  <si>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</si>
  <si>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</si>
  <si>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</si>
  <si>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</si>
  <si>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</si>
  <si>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</si>
  <si>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</si>
  <si>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</si>
  <si>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</si>
  <si>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</si>
  <si>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</si>
  <si>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</si>
  <si>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</si>
  <si>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</si>
  <si>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</si>
  <si>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</si>
  <si>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</si>
  <si>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</si>
  <si>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</si>
  <si>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</si>
  <si>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</si>
  <si>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</si>
  <si>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</si>
  <si>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</si>
  <si>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</si>
  <si>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</si>
  <si>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</si>
  <si>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</si>
  <si>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</si>
  <si>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</si>
  <si>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</si>
  <si>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</si>
  <si>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</si>
  <si>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</si>
  <si>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</si>
  <si>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</si>
  <si>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</si>
  <si>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</si>
  <si>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</si>
  <si>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</si>
  <si>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</si>
  <si>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</si>
  <si>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</si>
  <si>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</si>
  <si>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</si>
  <si>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</si>
  <si>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</si>
  <si>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</si>
  <si>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</si>
  <si>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</si>
  <si>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</si>
  <si>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</si>
  <si>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</si>
  <si>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</si>
  <si>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</si>
  <si>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</si>
  <si>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</si>
  <si>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</si>
  <si>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</si>
  <si>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</si>
  <si>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</si>
  <si>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</si>
  <si>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</si>
  <si>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</si>
  <si>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</si>
  <si>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</si>
  <si>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</si>
  <si>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</si>
  <si>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</si>
  <si>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</si>
  <si>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</si>
  <si>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</si>
  <si>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</si>
  <si>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</si>
  <si>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</si>
  <si>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</si>
  <si>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</si>
  <si>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</si>
  <si>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</si>
  <si>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</si>
  <si>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</si>
  <si>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</si>
  <si>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</si>
  <si>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</si>
  <si>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</si>
  <si>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</si>
  <si>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</si>
  <si>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</si>
  <si>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</si>
  <si>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</si>
  <si>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</si>
  <si>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</si>
  <si>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</si>
  <si>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</si>
  <si>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</si>
  <si>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</si>
  <si>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</si>
  <si>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</si>
  <si>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</si>
  <si>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</si>
  <si>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</si>
  <si>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</si>
  <si>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</si>
  <si>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</si>
  <si>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</si>
  <si>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</si>
  <si>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</si>
  <si>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</si>
  <si>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</si>
  <si>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</si>
  <si>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</si>
  <si>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</si>
  <si>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</si>
  <si>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</si>
  <si>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</si>
  <si>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</si>
  <si>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</si>
  <si>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</si>
  <si>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</si>
  <si>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</si>
  <si>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</si>
  <si>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</si>
  <si>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</si>
  <si>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</si>
  <si>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</si>
  <si>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</si>
  <si>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</si>
  <si>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</si>
  <si>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</si>
  <si>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</si>
  <si>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</si>
  <si>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</si>
  <si>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</si>
  <si>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</si>
  <si>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</si>
  <si>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</si>
  <si>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</si>
  <si>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</si>
  <si>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</si>
  <si>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</si>
  <si>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</si>
  <si>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</si>
  <si>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</si>
  <si>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</si>
  <si>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</si>
  <si>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</si>
  <si>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</si>
  <si>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</si>
  <si>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</si>
  <si>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</si>
  <si>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</si>
  <si>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</si>
  <si>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</si>
  <si>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</si>
  <si>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</si>
  <si>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</si>
  <si>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</si>
  <si>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</si>
  <si>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</si>
  <si>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</si>
  <si>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</si>
  <si>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</si>
  <si>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</si>
  <si>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</si>
  <si>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</si>
  <si>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</si>
  <si>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</si>
  <si>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</si>
  <si>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</si>
  <si>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</si>
  <si>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</si>
  <si>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</si>
  <si>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</si>
  <si>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</si>
  <si>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</si>
  <si>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</si>
  <si>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</si>
  <si>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</si>
  <si>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</si>
  <si>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</si>
  <si>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</si>
  <si>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</si>
  <si>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</si>
  <si>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</si>
  <si>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</si>
  <si>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</si>
  <si>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</si>
  <si>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</si>
  <si>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</si>
  <si>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</si>
  <si>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</si>
  <si>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</si>
  <si>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</si>
  <si>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</si>
  <si>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</si>
  <si>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</si>
  <si>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</si>
  <si>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</si>
  <si>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</si>
  <si>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</si>
  <si>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</si>
  <si>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</si>
  <si>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</si>
  <si>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</si>
  <si>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</si>
  <si>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</si>
  <si>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</si>
  <si>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</si>
  <si>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</si>
  <si>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</si>
  <si>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</si>
  <si>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</si>
  <si>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</si>
  <si>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</si>
  <si>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</si>
  <si>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</si>
  <si>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</si>
  <si>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</si>
  <si>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</si>
  <si>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</si>
  <si>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</si>
  <si>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</si>
  <si>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</si>
  <si>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</si>
  <si>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</si>
  <si>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</si>
  <si>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</si>
  <si>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</si>
  <si>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</si>
  <si>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</si>
  <si>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</si>
  <si>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</si>
  <si>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</si>
  <si>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</si>
  <si>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</si>
  <si>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</si>
  <si>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</si>
  <si>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</si>
  <si>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</si>
  <si>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</si>
  <si>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</si>
  <si>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</si>
  <si>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</si>
  <si>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</si>
  <si>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</si>
  <si>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</si>
  <si>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</si>
  <si>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</si>
  <si>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</si>
  <si>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</si>
  <si>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</si>
  <si>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</si>
  <si>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</si>
  <si>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</si>
  <si>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</si>
  <si>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</si>
  <si>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</si>
  <si>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</si>
  <si>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</si>
  <si>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</si>
  <si>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</si>
  <si>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</si>
  <si>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</si>
  <si>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</si>
  <si>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</si>
  <si>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</si>
  <si>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</si>
  <si>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</si>
  <si>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</si>
  <si>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</si>
  <si>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</si>
  <si>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</si>
  <si>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</si>
  <si>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</si>
  <si>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</si>
  <si>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</si>
  <si>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</si>
  <si>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</si>
  <si>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</si>
  <si>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</si>
  <si>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</si>
  <si>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</si>
  <si>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</si>
  <si>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</si>
  <si>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</si>
  <si>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</si>
  <si>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</si>
  <si>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</si>
  <si>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</si>
  <si>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</si>
  <si>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</si>
  <si>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</si>
  <si>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</si>
  <si>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</si>
  <si>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</si>
  <si>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</si>
  <si>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</si>
  <si>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</si>
  <si>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</si>
  <si>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</si>
  <si>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</si>
  <si>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</si>
  <si>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</si>
  <si>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</si>
  <si>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</si>
  <si>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</si>
  <si>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</si>
  <si>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</si>
  <si>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</si>
  <si>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</si>
  <si>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</si>
  <si>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</si>
  <si>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</si>
  <si>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</si>
  <si>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</si>
  <si>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</si>
  <si>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</si>
  <si>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</si>
  <si>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</si>
  <si>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</si>
  <si>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</si>
  <si>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</si>
  <si>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</si>
  <si>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</si>
  <si>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</si>
  <si>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</si>
  <si>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</si>
  <si>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</si>
  <si>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</si>
  <si>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</si>
  <si>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</si>
  <si>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</si>
  <si>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</si>
  <si>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</si>
  <si>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</si>
  <si>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</si>
  <si>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</si>
  <si>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</si>
  <si>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</si>
  <si>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</si>
  <si>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</si>
  <si>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</si>
  <si>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</si>
  <si>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</si>
  <si>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</si>
  <si>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</si>
  <si>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</si>
  <si>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</si>
  <si>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</si>
  <si>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</si>
  <si>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</si>
  <si>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</si>
  <si>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</si>
  <si>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</si>
  <si>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</si>
  <si>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</si>
  <si>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</si>
  <si>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</si>
  <si>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</si>
  <si>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</si>
  <si>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</si>
  <si>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</si>
  <si>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</si>
  <si>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</si>
  <si>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</si>
  <si>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</si>
  <si>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</si>
  <si>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</si>
  <si>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</si>
  <si>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</si>
  <si>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</si>
  <si>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</si>
  <si>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</si>
  <si>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</si>
  <si>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</si>
  <si>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</si>
  <si>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</si>
  <si>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</si>
  <si>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</si>
  <si>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</si>
  <si>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</si>
  <si>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</si>
  <si>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</si>
  <si>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</si>
  <si>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</si>
  <si>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</si>
  <si>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</si>
  <si>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</si>
  <si>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</si>
  <si>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</si>
  <si>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</si>
  <si>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</si>
  <si>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</si>
  <si>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</si>
  <si>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</si>
  <si>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</si>
  <si>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</si>
  <si>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</si>
  <si>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</si>
  <si>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</si>
  <si>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</si>
  <si>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</si>
  <si>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</si>
  <si>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</si>
  <si>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</si>
  <si>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</si>
  <si>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</si>
  <si>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</si>
  <si>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</si>
  <si>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</si>
  <si>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</si>
  <si>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</si>
  <si>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</si>
  <si>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</si>
  <si>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</si>
  <si>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</si>
  <si>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</si>
  <si>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</si>
  <si>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</si>
  <si>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</si>
  <si>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</si>
  <si>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</si>
  <si>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</si>
  <si>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</si>
  <si>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</si>
  <si>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</si>
  <si>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</si>
  <si>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</si>
  <si>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</si>
  <si>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</si>
  <si>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</si>
  <si>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</si>
  <si>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</si>
  <si>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</si>
  <si>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</si>
  <si>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</si>
  <si>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</si>
  <si>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</si>
  <si>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</si>
  <si>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</si>
  <si>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</si>
  <si>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</si>
  <si>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</si>
  <si>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</si>
  <si>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</si>
  <si>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</si>
  <si>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</si>
  <si>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</si>
  <si>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</si>
  <si>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</si>
  <si>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</si>
  <si>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</si>
  <si>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</si>
  <si>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</si>
  <si>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</si>
  <si>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</si>
  <si>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</si>
  <si>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</si>
  <si>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</si>
  <si>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</si>
  <si>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</si>
  <si>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</si>
  <si>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</si>
  <si>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</si>
  <si>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</si>
  <si>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</si>
  <si>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</si>
  <si>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</si>
  <si>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</si>
  <si>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</si>
  <si>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</si>
  <si>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</si>
  <si>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</si>
  <si>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</si>
  <si>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</si>
  <si>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</si>
  <si>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</si>
  <si>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</si>
  <si>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</si>
  <si>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</si>
  <si>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</si>
  <si>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</si>
  <si>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</si>
  <si>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</si>
  <si>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</si>
  <si>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</si>
  <si>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</si>
  <si>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</si>
  <si>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</si>
  <si>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</si>
  <si>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</si>
  <si>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</si>
  <si>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</si>
  <si>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</si>
  <si>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</si>
  <si>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</si>
  <si>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</si>
  <si>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</si>
  <si>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</si>
  <si>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</si>
  <si>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</si>
  <si>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</si>
  <si>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</si>
  <si>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</si>
  <si>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</si>
  <si>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</si>
  <si>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</si>
  <si>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</si>
  <si>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</si>
  <si>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</si>
  <si>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</si>
  <si>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</si>
  <si>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</si>
  <si>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</si>
  <si>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</si>
  <si>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</si>
  <si>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</si>
  <si>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</si>
  <si>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</si>
  <si>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</si>
  <si>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</si>
  <si>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</si>
  <si>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</si>
  <si>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</si>
  <si>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</si>
  <si>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</si>
  <si>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</si>
  <si>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</si>
  <si>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</si>
  <si>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</si>
  <si>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</si>
  <si>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</si>
  <si>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</si>
  <si>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</si>
  <si>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</si>
  <si>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</si>
  <si>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</si>
  <si>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</si>
  <si>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</si>
  <si>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</si>
  <si>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</si>
  <si>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</si>
  <si>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</si>
  <si>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</si>
  <si>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</si>
  <si>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</si>
  <si>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</si>
  <si>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</si>
  <si>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</si>
  <si>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</si>
  <si>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</si>
  <si>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</si>
  <si>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</si>
  <si>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</si>
  <si>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</si>
  <si>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</si>
  <si>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</si>
  <si>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</si>
  <si>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</si>
  <si>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</si>
  <si>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</si>
  <si>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</si>
  <si>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</si>
  <si>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</si>
  <si>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</si>
  <si>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</si>
  <si>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</si>
  <si>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</si>
  <si>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</si>
  <si>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</si>
  <si>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</si>
  <si>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</si>
  <si>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</si>
  <si>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</si>
  <si>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</si>
  <si>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</si>
  <si>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</si>
  <si>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</si>
  <si>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</si>
  <si>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</si>
  <si>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</si>
  <si>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</si>
  <si>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</si>
  <si>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</si>
  <si>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</si>
  <si>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</si>
  <si>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</si>
  <si>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</si>
  <si>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</si>
  <si>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</si>
  <si>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</si>
  <si>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</si>
  <si>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</si>
  <si>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</si>
  <si>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</si>
  <si>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</si>
  <si>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</si>
  <si>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</si>
  <si>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</si>
  <si>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</si>
  <si>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</si>
  <si>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</si>
  <si>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</si>
  <si>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</si>
  <si>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</si>
  <si>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</si>
  <si>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</si>
  <si>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</si>
  <si>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</si>
  <si>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</si>
  <si>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</si>
  <si>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</si>
  <si>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</si>
  <si>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</si>
  <si>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</si>
  <si>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</si>
  <si>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</si>
  <si>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</si>
  <si>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</si>
  <si>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</si>
  <si>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</si>
  <si>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</si>
  <si>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</si>
  <si>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</si>
  <si>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</si>
  <si>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</si>
  <si>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</si>
  <si>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</si>
  <si>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</si>
  <si>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</si>
  <si>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</si>
  <si>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</si>
  <si>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</si>
  <si>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</si>
  <si>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</si>
  <si>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</si>
  <si>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</si>
  <si>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</si>
  <si>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</si>
  <si>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</si>
  <si>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</si>
  <si>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</si>
  <si>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</si>
  <si>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</si>
  <si>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</si>
  <si>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</si>
  <si>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</si>
  <si>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</si>
  <si>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</si>
  <si>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</si>
  <si>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</si>
  <si>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</si>
  <si>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</si>
  <si>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</si>
  <si>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</si>
  <si>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</si>
  <si>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</si>
  <si>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</si>
  <si>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</si>
  <si>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</si>
  <si>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</si>
  <si>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</si>
  <si>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</si>
  <si>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</si>
  <si>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</si>
  <si>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</si>
  <si>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</si>
  <si>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</si>
  <si>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</si>
  <si>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</si>
  <si>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</si>
  <si>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</si>
  <si>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</si>
  <si>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</si>
  <si>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</si>
  <si>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</si>
  <si>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</si>
  <si>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</si>
  <si>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</si>
  <si>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</si>
  <si>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</si>
  <si>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</si>
  <si>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</si>
  <si>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</si>
  <si>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</si>
  <si>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</si>
  <si>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</si>
  <si>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</si>
  <si>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</si>
  <si>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</si>
  <si>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</si>
  <si>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</si>
  <si>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</si>
  <si>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</si>
  <si>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</si>
  <si>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</si>
  <si>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</si>
  <si>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</si>
  <si>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</si>
  <si>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</si>
  <si>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</si>
  <si>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</si>
  <si>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</si>
  <si>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</si>
  <si>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</si>
  <si>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</si>
  <si>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</si>
  <si>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</si>
  <si>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</si>
  <si>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</si>
  <si>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</si>
  <si>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</si>
  <si>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</si>
  <si>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</si>
  <si>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</si>
  <si>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</si>
  <si>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</si>
  <si>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</si>
  <si>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</si>
  <si>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</si>
  <si>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</si>
  <si>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</si>
  <si>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</si>
  <si>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</si>
  <si>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</si>
  <si>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</si>
  <si>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</si>
  <si>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</si>
  <si>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</si>
  <si>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</si>
  <si>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</si>
  <si>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</si>
  <si>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</si>
  <si>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</si>
  <si>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</si>
  <si>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</si>
  <si>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</si>
  <si>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</si>
  <si>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</si>
  <si>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</si>
  <si>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</si>
  <si>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</si>
  <si>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</si>
  <si>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</si>
  <si>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</si>
  <si>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</si>
  <si>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</si>
  <si>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</si>
  <si>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</si>
  <si>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</si>
  <si>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</si>
  <si>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</si>
  <si>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</si>
  <si>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</si>
  <si>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</si>
  <si>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</si>
  <si>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</si>
  <si>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</si>
  <si>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</si>
  <si>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</si>
  <si>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</si>
  <si>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</si>
  <si>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</si>
  <si>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</si>
  <si>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</si>
  <si>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</si>
  <si>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</si>
  <si>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</si>
  <si>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</si>
  <si>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</si>
  <si>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</si>
  <si>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</si>
  <si>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</si>
  <si>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</si>
  <si>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</si>
  <si>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</si>
  <si>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</si>
  <si>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</si>
  <si>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</si>
  <si>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</si>
  <si>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</si>
  <si>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</si>
  <si>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</si>
  <si>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</si>
  <si>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</si>
  <si>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</si>
  <si>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</si>
  <si>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</si>
  <si>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</si>
  <si>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</si>
  <si>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</si>
  <si>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</si>
  <si>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</si>
  <si>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</si>
  <si>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</si>
  <si>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</si>
  <si>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</si>
  <si>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</si>
  <si>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</si>
  <si>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</si>
  <si>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</si>
  <si>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</si>
  <si>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</si>
  <si>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</si>
  <si>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</si>
  <si>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</si>
  <si>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</si>
  <si>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</si>
  <si>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</si>
  <si>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</si>
  <si>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</si>
  <si>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</si>
  <si>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</si>
  <si>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</si>
  <si>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</si>
  <si>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</si>
  <si>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</si>
  <si>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</si>
  <si>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</si>
  <si>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</si>
  <si>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</si>
  <si>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</si>
  <si>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</si>
  <si>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</si>
  <si>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</si>
  <si>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</si>
  <si>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</si>
  <si>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</si>
  <si>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</si>
  <si>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</si>
  <si>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</si>
  <si>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</si>
  <si>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</si>
  <si>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</si>
  <si>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</si>
  <si>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</si>
  <si>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</si>
  <si>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</si>
  <si>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</si>
  <si>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</si>
  <si>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</si>
  <si>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</si>
  <si>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</si>
  <si>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</si>
  <si>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</si>
  <si>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</si>
  <si>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</si>
  <si>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</si>
  <si>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</si>
  <si>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</si>
  <si>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</si>
  <si>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</si>
  <si>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</si>
  <si>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</si>
  <si>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</si>
  <si>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</si>
  <si>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</si>
  <si>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</si>
  <si>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</si>
  <si>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</si>
  <si>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</si>
  <si>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</si>
  <si>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</si>
  <si>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</si>
  <si>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</si>
  <si>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</si>
  <si>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</si>
  <si>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</si>
  <si>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</si>
  <si>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</si>
  <si>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</si>
  <si>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</si>
  <si>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</si>
  <si>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</si>
  <si>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</si>
  <si>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</si>
  <si>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</si>
  <si>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</si>
  <si>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</si>
  <si>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</si>
  <si>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</si>
  <si>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</si>
  <si>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</si>
  <si>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</si>
  <si>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</si>
  <si>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</si>
  <si>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</si>
  <si>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</si>
  <si>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</si>
  <si>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</si>
  <si>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</si>
  <si>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</si>
  <si>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</si>
  <si>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</si>
  <si>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</si>
  <si>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</si>
  <si>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</si>
  <si>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</si>
  <si>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</si>
  <si>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</si>
  <si>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</si>
  <si>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</si>
  <si>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</si>
  <si>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</si>
  <si>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</si>
  <si>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</si>
  <si>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</si>
  <si>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</si>
  <si>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</si>
  <si>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</si>
  <si>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</si>
  <si>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</si>
  <si>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</si>
  <si>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</si>
  <si>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</si>
  <si>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</si>
  <si>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</si>
  <si>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</si>
  <si>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</si>
  <si>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</si>
  <si>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</si>
  <si>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</si>
  <si>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</si>
  <si>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</si>
  <si>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</si>
  <si>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</si>
  <si>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</si>
  <si>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</si>
  <si>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</si>
  <si>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</si>
  <si>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</si>
  <si>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</si>
  <si>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</si>
  <si>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</si>
  <si>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</si>
  <si>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</si>
  <si>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</si>
  <si>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</si>
  <si>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</si>
  <si>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</si>
  <si>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</si>
  <si>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</si>
  <si>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</si>
  <si>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</si>
  <si>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</si>
  <si>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</si>
  <si>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</si>
  <si>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</si>
  <si>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</si>
  <si>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</si>
  <si>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</si>
  <si>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</si>
  <si>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</si>
  <si>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</si>
  <si>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</si>
  <si>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</si>
  <si>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</si>
  <si>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</si>
  <si>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</si>
  <si>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</si>
  <si>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</si>
  <si>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</si>
  <si>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</si>
  <si>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</si>
  <si>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</si>
  <si>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</si>
  <si>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</si>
  <si>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</si>
  <si>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</si>
  <si>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</si>
  <si>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</si>
  <si>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</si>
  <si>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</si>
  <si>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</si>
  <si>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</si>
  <si>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</si>
  <si>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</si>
  <si>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</si>
  <si>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</si>
  <si>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</si>
  <si>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</si>
  <si>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</si>
  <si>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</si>
  <si>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</si>
  <si>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</si>
  <si>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</si>
  <si>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</si>
  <si>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</si>
  <si>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</si>
  <si>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</si>
  <si>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</si>
  <si>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</si>
  <si>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</si>
  <si>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</si>
  <si>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</si>
  <si>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</si>
  <si>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</si>
  <si>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</si>
  <si>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</si>
  <si>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</si>
  <si>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</si>
  <si>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</si>
  <si>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</si>
  <si>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</si>
  <si>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</si>
  <si>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</si>
  <si>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</si>
  <si>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</si>
  <si>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</si>
  <si>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</si>
  <si>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</si>
  <si>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</si>
  <si>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</si>
  <si>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</si>
  <si>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</si>
  <si>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</si>
  <si>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</si>
  <si>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</si>
  <si>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</si>
  <si>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</si>
  <si>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</si>
  <si>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</si>
  <si>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</si>
  <si>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</si>
  <si>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</si>
  <si>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</si>
  <si>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</si>
  <si>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</si>
  <si>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</si>
  <si>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</si>
  <si>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</si>
  <si>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</si>
  <si>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</si>
  <si>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</si>
  <si>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</si>
  <si>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</si>
  <si>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</si>
  <si>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</si>
  <si>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</si>
  <si>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</si>
  <si>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</si>
  <si>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</si>
  <si>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</si>
  <si>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</si>
  <si>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</si>
  <si>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</si>
  <si>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</si>
  <si>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</si>
  <si>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</si>
  <si>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</si>
  <si>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</si>
  <si>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</si>
  <si>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</si>
  <si>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</si>
  <si>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</si>
  <si>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</si>
  <si>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</si>
  <si>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</si>
  <si>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</si>
  <si>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</si>
  <si>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</si>
  <si>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</si>
  <si>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</si>
  <si>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</si>
  <si>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</si>
  <si>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</si>
  <si>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</si>
  <si>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</si>
  <si>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</si>
  <si>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</si>
  <si>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</si>
  <si>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</si>
  <si>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</si>
  <si>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</si>
  <si>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</si>
  <si>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</si>
  <si>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</si>
  <si>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</si>
  <si>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</si>
  <si>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</si>
  <si>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</si>
  <si>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</si>
  <si>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</si>
  <si>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</si>
  <si>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</si>
  <si>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</si>
  <si>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</si>
  <si>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</si>
  <si>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</si>
  <si>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</si>
  <si>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</si>
  <si>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</si>
  <si>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</si>
  <si>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</si>
  <si>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</si>
  <si>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</si>
  <si>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</si>
  <si>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</si>
  <si>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</si>
  <si>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</si>
  <si>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</si>
  <si>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</si>
  <si>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</si>
  <si>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</si>
  <si>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</si>
  <si>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</si>
  <si>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</si>
  <si>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</si>
  <si>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</si>
  <si>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</si>
  <si>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</si>
  <si>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</si>
  <si>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</si>
  <si>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</si>
  <si>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</si>
  <si>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</si>
  <si>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</si>
  <si>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</si>
  <si>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</si>
  <si>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</si>
  <si>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</si>
  <si>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</si>
  <si>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</si>
  <si>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</si>
  <si>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</si>
  <si>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</si>
  <si>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</si>
  <si>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</si>
  <si>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</si>
  <si>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</si>
  <si>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</si>
  <si>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</si>
  <si>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</si>
  <si>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</si>
  <si>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</si>
  <si>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</si>
  <si>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</si>
  <si>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</si>
  <si>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</si>
  <si>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</si>
  <si>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</si>
  <si>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</si>
  <si>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</si>
  <si>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</si>
  <si>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</si>
  <si>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</si>
  <si>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</si>
  <si>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</si>
  <si>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</si>
  <si>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</si>
  <si>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</si>
  <si>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</si>
  <si>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</si>
  <si>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</si>
  <si>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</si>
  <si>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</si>
  <si>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</si>
  <si>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</si>
  <si>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</si>
  <si>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</si>
  <si>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</si>
  <si>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</si>
  <si>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</si>
  <si>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</si>
  <si>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</si>
  <si>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</si>
  <si>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</si>
  <si>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</si>
  <si>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</si>
  <si>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</si>
  <si>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</si>
  <si>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</si>
  <si>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</si>
  <si>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</si>
  <si>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</si>
  <si>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</si>
  <si>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</si>
  <si>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</si>
  <si>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</si>
  <si>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</si>
  <si>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</si>
  <si>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</si>
  <si>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</si>
  <si>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</si>
  <si>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</si>
  <si>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</si>
  <si>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</si>
  <si>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</si>
  <si>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</si>
  <si>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</si>
  <si>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</si>
  <si>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</si>
  <si>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</si>
  <si>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</si>
  <si>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</si>
  <si>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</si>
  <si>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</si>
  <si>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</si>
  <si>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</si>
  <si>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</si>
  <si>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</si>
  <si>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</si>
  <si>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</si>
  <si>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</si>
  <si>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</si>
  <si>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</si>
  <si>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</si>
  <si>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</si>
  <si>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</si>
  <si>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</si>
  <si>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</si>
  <si>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</si>
  <si>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</si>
  <si>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</si>
  <si>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</si>
  <si>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</si>
  <si>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</si>
  <si>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</si>
  <si>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</si>
  <si>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</si>
  <si>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</si>
  <si>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</si>
  <si>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</si>
  <si>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</si>
  <si>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</si>
  <si>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</si>
  <si>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</si>
  <si>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</si>
  <si>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</si>
  <si>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</si>
  <si>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</si>
  <si>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</si>
  <si>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</si>
  <si>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</si>
  <si>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</si>
  <si>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</si>
  <si>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</si>
  <si>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</si>
  <si>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</si>
  <si>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</si>
  <si>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</si>
  <si>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</si>
  <si>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</si>
  <si>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</si>
  <si>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</si>
  <si>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</si>
  <si>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</si>
  <si>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</si>
  <si>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</si>
  <si>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</si>
  <si>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</si>
  <si>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</si>
  <si>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</si>
  <si>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</si>
  <si>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</si>
  <si>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</si>
  <si>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</si>
  <si>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</si>
  <si>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</si>
  <si>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</si>
  <si>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</si>
  <si>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</si>
  <si>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</si>
  <si>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</si>
  <si>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</si>
  <si>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</si>
  <si>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</si>
  <si>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</si>
  <si>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</si>
  <si>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</si>
  <si>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</si>
  <si>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</si>
  <si>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</si>
  <si>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</si>
  <si>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</si>
  <si>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</si>
  <si>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</si>
  <si>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</si>
  <si>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</si>
  <si>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</si>
  <si>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</si>
  <si>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</si>
  <si>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</si>
  <si>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</si>
  <si>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</si>
  <si>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</si>
  <si>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</si>
  <si>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</si>
  <si>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</si>
  <si>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</si>
  <si>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</si>
  <si>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</si>
  <si>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</si>
  <si>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</si>
  <si>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</si>
  <si>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</si>
  <si>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</si>
  <si>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</si>
  <si>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</si>
  <si>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</si>
  <si>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</si>
  <si>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</si>
  <si>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</si>
  <si>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</si>
  <si>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</si>
  <si>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</si>
  <si>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</si>
  <si>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</si>
  <si>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</si>
  <si>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</si>
  <si>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</si>
  <si>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</si>
  <si>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</si>
  <si>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</si>
  <si>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</si>
  <si>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</si>
  <si>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</si>
  <si>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</si>
  <si>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</si>
  <si>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</si>
  <si>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</si>
  <si>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</si>
  <si>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</si>
  <si>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</si>
  <si>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</si>
  <si>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</si>
  <si>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</si>
  <si>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</si>
  <si>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</si>
  <si>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</si>
  <si>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</si>
  <si>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</si>
  <si>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</si>
  <si>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</si>
  <si>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</si>
  <si>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</si>
  <si>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</si>
  <si>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</si>
  <si>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</si>
  <si>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</si>
  <si>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</si>
  <si>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</si>
  <si>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</si>
  <si>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</si>
  <si>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</si>
  <si>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</si>
  <si>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</si>
  <si>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</si>
  <si>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</si>
  <si>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</si>
  <si>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</si>
  <si>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</si>
  <si>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</si>
  <si>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</si>
  <si>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</si>
  <si>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</si>
  <si>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</si>
  <si>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</si>
  <si>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</si>
  <si>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</si>
  <si>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</si>
  <si>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</si>
  <si>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</si>
  <si>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</si>
  <si>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</si>
  <si>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</si>
  <si>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</si>
  <si>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</si>
  <si>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</si>
  <si>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</si>
  <si>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</si>
  <si>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</si>
  <si>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</si>
  <si>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</si>
  <si>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</si>
  <si>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</si>
  <si>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</si>
  <si>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</si>
  <si>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</si>
  <si>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</si>
  <si>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</si>
  <si>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</si>
  <si>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</si>
  <si>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</si>
  <si>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</si>
  <si>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</si>
  <si>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</si>
  <si>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</si>
  <si>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</si>
  <si>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</si>
  <si>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</si>
  <si>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</si>
  <si>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</si>
  <si>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</si>
  <si>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</si>
  <si>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</si>
  <si>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</si>
  <si>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</si>
  <si>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</si>
  <si>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</si>
  <si>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</si>
  <si>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</si>
  <si>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</si>
  <si>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</si>
  <si>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</si>
  <si>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</si>
  <si>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</si>
  <si>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</si>
  <si>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</si>
  <si>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</si>
  <si>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</si>
  <si>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</si>
  <si>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</si>
  <si>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</si>
  <si>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</si>
  <si>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</si>
  <si>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</si>
  <si>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</si>
  <si>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</si>
  <si>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</si>
  <si>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</si>
  <si>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</si>
  <si>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</si>
  <si>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</si>
  <si>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</si>
  <si>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</si>
  <si>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</si>
  <si>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</si>
  <si>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</si>
  <si>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</si>
  <si>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</si>
  <si>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</si>
  <si>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</si>
  <si>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</si>
  <si>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</si>
  <si>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</si>
  <si>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</si>
  <si>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</si>
  <si>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</si>
  <si>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</si>
  <si>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</si>
  <si>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</si>
  <si>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</si>
  <si>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</si>
  <si>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</si>
  <si>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</si>
  <si>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</si>
  <si>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</si>
  <si>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</si>
  <si>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</si>
  <si>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</si>
  <si>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</si>
  <si>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</si>
  <si>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</si>
  <si>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</si>
  <si>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</si>
  <si>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</si>
  <si>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</si>
  <si>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</si>
  <si>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</si>
  <si>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</si>
  <si>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</si>
  <si>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</si>
  <si>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</si>
  <si>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</si>
  <si>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</si>
  <si>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</si>
  <si>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</si>
  <si>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</si>
  <si>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</si>
  <si>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</si>
  <si>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</si>
  <si>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</si>
  <si>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</si>
  <si>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</si>
  <si>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</si>
  <si>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</si>
  <si>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</si>
  <si>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</si>
  <si>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</si>
  <si>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</si>
  <si>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</si>
  <si>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</si>
  <si>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</si>
  <si>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</si>
  <si>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</si>
  <si>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</si>
  <si>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</si>
  <si>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</si>
  <si>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</si>
  <si>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</si>
  <si>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</si>
  <si>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</si>
  <si>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</si>
  <si>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</si>
  <si>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</si>
  <si>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</si>
  <si>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</si>
  <si>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</si>
  <si>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</si>
  <si>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</si>
  <si>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</si>
  <si>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</si>
  <si>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</si>
  <si>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</si>
  <si>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</si>
  <si>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</si>
  <si>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</si>
  <si>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</si>
  <si>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</si>
  <si>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</si>
  <si>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</si>
  <si>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</si>
  <si>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</si>
  <si>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</si>
  <si>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</si>
  <si>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</si>
  <si>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</si>
  <si>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</si>
  <si>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</si>
  <si>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</si>
  <si>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</si>
  <si>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</si>
  <si>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</si>
  <si>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</si>
  <si>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</si>
  <si>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</si>
  <si>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</si>
  <si>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</si>
  <si>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</si>
  <si>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</si>
  <si>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</si>
  <si>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</si>
  <si>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</si>
  <si>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</si>
  <si>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</si>
  <si>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</si>
  <si>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</si>
  <si>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</si>
  <si>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</si>
  <si>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</si>
  <si>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</si>
  <si>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</si>
  <si>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</si>
  <si>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</si>
  <si>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</si>
  <si>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</si>
  <si>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</si>
  <si>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</si>
  <si>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</si>
  <si>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</si>
  <si>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</si>
  <si>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</si>
  <si>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</si>
  <si>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</si>
  <si>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</si>
  <si>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</si>
  <si>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</si>
  <si>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</si>
  <si>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</si>
  <si>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</si>
  <si>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</si>
  <si>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</si>
  <si>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</si>
  <si>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</si>
  <si>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</si>
  <si>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</si>
  <si>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</si>
  <si>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</si>
  <si>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</si>
  <si>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</si>
  <si>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</si>
  <si>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</si>
  <si>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</si>
  <si>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</si>
  <si>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</si>
  <si>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</si>
  <si>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</si>
  <si>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</si>
  <si>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</si>
  <si>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</si>
  <si>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</si>
  <si>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</si>
  <si>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</si>
  <si>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</si>
  <si>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</si>
  <si>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</si>
  <si>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</si>
  <si>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</si>
  <si>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</si>
  <si>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</si>
  <si>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</si>
  <si>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</si>
  <si>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</si>
  <si>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</si>
  <si>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</si>
  <si>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</si>
  <si>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</si>
  <si>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</si>
  <si>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</si>
  <si>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</si>
  <si>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</si>
  <si>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</si>
  <si>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</si>
  <si>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</si>
  <si>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</si>
  <si>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</si>
  <si>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</si>
  <si>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</si>
  <si>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</si>
  <si>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</si>
  <si>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</si>
  <si>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</si>
  <si>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</si>
  <si>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</si>
  <si>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</si>
  <si>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</si>
  <si>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</si>
  <si>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</si>
  <si>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</si>
  <si>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</si>
  <si>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</si>
  <si>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</si>
  <si>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</si>
  <si>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</si>
  <si>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</si>
  <si>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</si>
  <si>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</si>
  <si>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</si>
  <si>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</si>
  <si>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</si>
  <si>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</si>
  <si>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</si>
  <si>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</si>
  <si>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</si>
  <si>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</si>
  <si>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</si>
  <si>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</si>
  <si>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</si>
  <si>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</si>
  <si>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</si>
  <si>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</si>
  <si>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</si>
  <si>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</si>
  <si>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</si>
  <si>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</si>
  <si>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</si>
  <si>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</si>
  <si>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</si>
  <si>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</si>
  <si>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</si>
  <si>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</si>
  <si>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</si>
  <si>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</si>
  <si>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</si>
  <si>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</si>
  <si>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</si>
  <si>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</si>
  <si>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</si>
  <si>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</si>
  <si>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</si>
  <si>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</si>
  <si>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</si>
  <si>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</si>
  <si>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</si>
  <si>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</si>
  <si>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</si>
  <si>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</si>
  <si>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</si>
  <si>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</si>
  <si>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</si>
  <si>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</si>
  <si>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</si>
  <si>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</si>
  <si>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</si>
  <si>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</si>
  <si>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</si>
  <si>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</si>
  <si>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</si>
  <si>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</si>
  <si>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</si>
  <si>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</si>
  <si>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</si>
  <si>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</si>
  <si>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</si>
  <si>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</si>
  <si>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</si>
  <si>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</si>
  <si>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</si>
  <si>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</si>
  <si>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</si>
  <si>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</si>
  <si>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</si>
  <si>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</si>
  <si>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</si>
  <si>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</si>
  <si>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</si>
  <si>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</si>
  <si>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</si>
  <si>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</si>
  <si>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</si>
  <si>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</si>
  <si>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</si>
  <si>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</si>
  <si>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</si>
  <si>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</si>
  <si>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</si>
  <si>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</si>
  <si>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</si>
  <si>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</si>
  <si>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</si>
  <si>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</si>
  <si>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</si>
  <si>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</si>
  <si>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</si>
  <si>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</si>
  <si>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</si>
  <si>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</si>
  <si>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</si>
  <si>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</si>
  <si>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</si>
  <si>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</si>
  <si>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</si>
  <si>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</si>
  <si>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</si>
  <si>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</si>
  <si>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</si>
  <si>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</si>
  <si>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</si>
  <si>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</si>
  <si>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</si>
  <si>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</si>
  <si>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</si>
  <si>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</si>
  <si>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</si>
  <si>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</si>
  <si>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</si>
  <si>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</si>
  <si>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</si>
  <si>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</si>
  <si>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</si>
  <si>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</si>
  <si>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</si>
  <si>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</si>
  <si>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</si>
  <si>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</si>
  <si>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</si>
  <si>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</si>
  <si>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</si>
  <si>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</si>
  <si>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</si>
  <si>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</si>
  <si>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</si>
  <si>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</si>
  <si>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</si>
  <si>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</si>
  <si>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</si>
  <si>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</si>
  <si>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</si>
  <si>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</si>
  <si>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</si>
  <si>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</si>
  <si>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</si>
  <si>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</si>
  <si>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</si>
  <si>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</si>
  <si>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</si>
  <si>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</si>
  <si>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</si>
  <si>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</si>
  <si>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</si>
  <si>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</si>
  <si>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</si>
  <si>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</si>
  <si>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</si>
  <si>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</si>
  <si>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</si>
  <si>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</si>
  <si>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</si>
  <si>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</si>
  <si>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</si>
  <si>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</si>
  <si>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</si>
  <si>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</si>
  <si>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</si>
  <si>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</si>
  <si>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</si>
  <si>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</si>
  <si>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</si>
  <si>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</si>
  <si>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</si>
  <si>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</si>
  <si>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</si>
  <si>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</si>
  <si>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</si>
  <si>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</si>
  <si>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</si>
  <si>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</si>
  <si>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</si>
  <si>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</si>
  <si>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</si>
  <si>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</si>
  <si>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</si>
  <si>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</si>
  <si>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</si>
  <si>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</si>
  <si>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</si>
  <si>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</si>
  <si>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</si>
  <si>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</si>
  <si>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</si>
  <si>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</si>
  <si>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</si>
  <si>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</si>
  <si>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</si>
  <si>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</si>
  <si>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</si>
  <si>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</si>
  <si>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</si>
  <si>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</si>
  <si>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</si>
  <si>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</si>
  <si>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</si>
  <si>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</si>
  <si>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</si>
  <si>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</si>
  <si>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</si>
  <si>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</si>
  <si>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</si>
  <si>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</si>
  <si>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</si>
  <si>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</si>
  <si>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</si>
  <si>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</si>
  <si>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</si>
  <si>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</si>
  <si>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</si>
  <si>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</si>
  <si>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</si>
  <si>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</si>
  <si>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</si>
  <si>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</si>
  <si>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</si>
  <si>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</si>
  <si>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</si>
  <si>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</si>
  <si>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</si>
  <si>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</si>
  <si>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</si>
  <si>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</si>
  <si>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</si>
  <si>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</si>
  <si>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</si>
  <si>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</si>
  <si>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</si>
  <si>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</si>
  <si>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</si>
  <si>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</si>
  <si>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</si>
  <si>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</si>
  <si>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</si>
  <si>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</si>
  <si>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</si>
  <si>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</si>
  <si>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</si>
  <si>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</si>
  <si>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</si>
  <si>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</si>
  <si>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</si>
  <si>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</si>
  <si>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</si>
  <si>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</si>
  <si>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</si>
  <si>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</si>
  <si>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</si>
  <si>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</si>
  <si>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</si>
  <si>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</si>
  <si>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</si>
  <si>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</si>
  <si>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</si>
  <si>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</si>
  <si>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</si>
  <si>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</si>
  <si>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</si>
  <si>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</si>
  <si>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</si>
  <si>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</si>
  <si>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</si>
  <si>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</si>
  <si>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</si>
  <si>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</si>
  <si>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</si>
  <si>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</si>
  <si>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</si>
  <si>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</si>
  <si>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</si>
  <si>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</si>
  <si>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</si>
  <si>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</si>
  <si>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</si>
  <si>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</si>
  <si>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</si>
  <si>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</si>
  <si>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</si>
  <si>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</si>
  <si>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</si>
  <si>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</si>
  <si>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</si>
  <si>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</si>
  <si>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</si>
  <si>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</si>
  <si>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</si>
  <si>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</si>
  <si>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</si>
  <si>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</si>
  <si>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</si>
  <si>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</si>
  <si>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</si>
  <si>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</si>
  <si>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</si>
  <si>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</si>
  <si>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</si>
  <si>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</si>
  <si>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</si>
  <si>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</si>
  <si>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</si>
  <si>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</si>
  <si>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</si>
  <si>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</si>
  <si>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</si>
  <si>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</si>
  <si>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</si>
  <si>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</si>
  <si>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</si>
  <si>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</si>
  <si>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</si>
  <si>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</si>
  <si>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</si>
  <si>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</si>
  <si>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</si>
  <si>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</si>
  <si>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</si>
  <si>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</si>
  <si>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</si>
  <si>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</si>
  <si>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</si>
  <si>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</si>
  <si>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</si>
  <si>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</si>
  <si>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</si>
  <si>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</si>
  <si>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</si>
  <si>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</si>
  <si>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</si>
  <si>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</si>
  <si>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</si>
  <si>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</si>
  <si>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</si>
  <si>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</si>
  <si>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</si>
  <si>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</si>
  <si>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</si>
  <si>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</si>
  <si>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</si>
  <si>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</si>
  <si>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</si>
  <si>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</si>
  <si>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</si>
  <si>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</si>
  <si>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</si>
  <si>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</si>
  <si>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</si>
  <si>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</si>
  <si>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</si>
  <si>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</si>
  <si>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</si>
  <si>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</si>
  <si>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</si>
  <si>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</si>
  <si>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</si>
  <si>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</si>
  <si>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</si>
  <si>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</si>
  <si>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</si>
  <si>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</si>
  <si>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</si>
  <si>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</si>
  <si>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</si>
  <si>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</si>
  <si>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</si>
  <si>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</si>
  <si>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</si>
  <si>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</si>
  <si>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</si>
  <si>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</si>
  <si>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</si>
  <si>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</si>
  <si>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</si>
  <si>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</si>
  <si>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</si>
  <si>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</si>
  <si>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</si>
  <si>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</si>
  <si>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</si>
  <si>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</si>
  <si>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</si>
  <si>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</si>
  <si>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</si>
  <si>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</si>
  <si>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</si>
  <si>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</si>
  <si>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</si>
  <si>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</si>
  <si>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</si>
  <si>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</si>
  <si>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</si>
  <si>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</si>
  <si>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</si>
  <si>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</si>
  <si>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</si>
  <si>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</si>
  <si>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</si>
  <si>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</si>
  <si>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</si>
  <si>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</si>
  <si>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</si>
  <si>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</si>
  <si>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</si>
  <si>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</si>
  <si>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</si>
  <si>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</si>
  <si>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</si>
  <si>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</si>
  <si>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</si>
  <si>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</si>
  <si>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</si>
  <si>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</si>
  <si>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</si>
  <si>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</si>
  <si>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</si>
  <si>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</si>
  <si>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</si>
  <si>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</si>
  <si>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</si>
  <si>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</si>
  <si>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</si>
  <si>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</si>
  <si>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</si>
  <si>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</si>
  <si>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</si>
  <si>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</si>
  <si>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</si>
  <si>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</si>
  <si>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</si>
  <si>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</si>
  <si>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</si>
  <si>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</si>
  <si>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</si>
  <si>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</si>
  <si>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</si>
  <si>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</si>
  <si>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</si>
  <si>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</si>
  <si>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</si>
  <si>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</si>
  <si>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</si>
  <si>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</si>
  <si>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</si>
  <si>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</si>
  <si>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</si>
  <si>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</si>
  <si>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</si>
  <si>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</si>
  <si>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</si>
  <si>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</si>
  <si>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</si>
  <si>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</si>
  <si>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</si>
  <si>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</si>
  <si>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</si>
  <si>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</si>
  <si>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</si>
  <si>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</si>
  <si>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</si>
  <si>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</si>
  <si>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</si>
  <si>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</si>
  <si>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</si>
  <si>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</si>
  <si>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</si>
  <si>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</si>
  <si>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</si>
  <si>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</si>
  <si>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</si>
  <si>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</si>
  <si>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</si>
  <si>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</si>
  <si>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</si>
  <si>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</si>
  <si>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</si>
  <si>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</si>
  <si>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</si>
  <si>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</si>
  <si>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</si>
  <si>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</si>
  <si>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</si>
  <si>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</si>
  <si>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</si>
  <si>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</si>
  <si>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</si>
  <si>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</si>
  <si>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</si>
  <si>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</si>
  <si>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</si>
  <si>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</si>
  <si>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</si>
  <si>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</si>
  <si>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</si>
  <si>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</si>
  <si>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</si>
  <si>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</si>
  <si>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</si>
  <si>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</si>
  <si>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</si>
  <si>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</si>
  <si>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</si>
  <si>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</si>
  <si>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</si>
  <si>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</si>
  <si>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</si>
  <si>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</si>
  <si>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</si>
  <si>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</si>
  <si>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</si>
  <si>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</si>
  <si>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</si>
  <si>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</si>
  <si>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</si>
  <si>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</si>
  <si>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</si>
  <si>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</si>
  <si>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</si>
  <si>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</si>
  <si>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</si>
  <si>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</si>
  <si>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</si>
  <si>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</si>
  <si>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</si>
  <si>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</si>
  <si>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</si>
  <si>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</si>
  <si>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</si>
  <si>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</si>
  <si>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</si>
  <si>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</si>
  <si>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</si>
  <si>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</si>
  <si>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</si>
  <si>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</si>
  <si>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</si>
  <si>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</si>
  <si>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</si>
  <si>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</si>
  <si>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</si>
  <si>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</si>
  <si>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</si>
  <si>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</si>
  <si>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</si>
  <si>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</si>
  <si>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</si>
  <si>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</si>
  <si>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</si>
  <si>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</si>
  <si>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</si>
  <si>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</si>
  <si>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</si>
  <si>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</si>
  <si>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</si>
  <si>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</si>
  <si>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</si>
  <si>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</si>
  <si>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</si>
  <si>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</si>
  <si>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</si>
  <si>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</si>
  <si>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</si>
  <si>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</si>
  <si>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</si>
  <si>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</si>
  <si>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</si>
  <si>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</si>
  <si>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</si>
  <si>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</si>
  <si>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</si>
  <si>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</si>
  <si>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</si>
  <si>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</si>
  <si>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</si>
  <si>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</si>
  <si>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</si>
  <si>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</si>
  <si>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</si>
  <si>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</si>
  <si>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</si>
  <si>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</si>
  <si>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</si>
  <si>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</si>
  <si>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</si>
  <si>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</si>
  <si>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</si>
  <si>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</si>
  <si>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</si>
  <si>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</si>
  <si>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</si>
  <si>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</si>
  <si>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</si>
  <si>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</si>
  <si>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</si>
  <si>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</si>
  <si>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</si>
  <si>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</si>
  <si>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</si>
  <si>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</si>
  <si>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</si>
  <si>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</si>
  <si>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</si>
  <si>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</si>
  <si>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</si>
  <si>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</si>
  <si>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</si>
  <si>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</si>
  <si>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</si>
  <si>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</si>
  <si>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</si>
  <si>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</si>
  <si>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</si>
  <si>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</si>
  <si>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</si>
  <si>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</si>
  <si>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</si>
  <si>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</si>
  <si>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</si>
  <si>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</si>
  <si>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</si>
  <si>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</si>
  <si>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</si>
  <si>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</si>
  <si>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</si>
  <si>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</si>
  <si>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</si>
  <si>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</si>
  <si>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</si>
  <si>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</si>
  <si>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</si>
  <si>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</si>
  <si>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</si>
  <si>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</si>
  <si>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</si>
  <si>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</si>
  <si>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</si>
  <si>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</si>
  <si>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</si>
  <si>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</si>
  <si>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</si>
  <si>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</si>
  <si>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</si>
  <si>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</si>
  <si>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</si>
  <si>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</si>
  <si>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</si>
  <si>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</si>
  <si>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</si>
  <si>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</si>
  <si>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</si>
  <si>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</si>
  <si>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</si>
  <si>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</si>
  <si>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</si>
  <si>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</si>
  <si>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</si>
  <si>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</si>
  <si>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</si>
  <si>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</si>
  <si>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</si>
  <si>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</si>
  <si>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</si>
  <si>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</si>
  <si>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</si>
  <si>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</si>
  <si>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</si>
  <si>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</si>
  <si>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</si>
  <si>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</si>
  <si>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</si>
  <si>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</si>
  <si>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</si>
  <si>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</si>
  <si>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</si>
  <si>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</si>
  <si>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</si>
  <si>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</si>
  <si>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</si>
  <si>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</si>
  <si>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</si>
  <si>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</si>
  <si>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</si>
  <si>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</si>
  <si>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</si>
  <si>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</si>
  <si>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</si>
  <si>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</si>
  <si>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</si>
  <si>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</si>
  <si>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</si>
  <si>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</si>
  <si>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</si>
  <si>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</si>
  <si>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</si>
  <si>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</si>
  <si>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</si>
  <si>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</si>
  <si>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</si>
  <si>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</si>
  <si>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</si>
  <si>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</si>
  <si>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</si>
  <si>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</si>
  <si>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</si>
  <si>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</si>
  <si>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</si>
  <si>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</si>
  <si>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</si>
  <si>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</si>
  <si>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</si>
  <si>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</si>
  <si>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</si>
  <si>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</si>
  <si>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</si>
  <si>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</si>
  <si>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</si>
  <si>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</si>
  <si>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</si>
  <si>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</si>
  <si>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</si>
  <si>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</si>
  <si>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</si>
  <si>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</si>
  <si>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</si>
  <si>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</si>
  <si>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</si>
  <si>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</si>
  <si>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</si>
  <si>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</si>
  <si>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</si>
  <si>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</si>
  <si>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</si>
  <si>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</si>
  <si>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</si>
  <si>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</si>
  <si>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</si>
  <si>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</si>
  <si>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</si>
  <si>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</si>
  <si>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</si>
  <si>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</si>
  <si>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</si>
  <si>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</si>
  <si>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</si>
  <si>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</si>
  <si>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</si>
  <si>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</si>
  <si>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</si>
  <si>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</si>
  <si>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</si>
  <si>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</si>
  <si>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</si>
  <si>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</si>
  <si>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</si>
  <si>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</si>
  <si>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</si>
  <si>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</si>
  <si>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</si>
  <si>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</si>
  <si>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</si>
  <si>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</si>
  <si>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</si>
  <si>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</si>
  <si>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</si>
  <si>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</si>
  <si>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</si>
  <si>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</si>
  <si>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</si>
  <si>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</si>
  <si>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</si>
  <si>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</si>
  <si>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</si>
  <si>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</si>
  <si>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</si>
  <si>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</si>
  <si>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</si>
  <si>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</si>
  <si>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</si>
  <si>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</si>
  <si>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</si>
  <si>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</si>
  <si>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</si>
  <si>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</si>
  <si>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</si>
  <si>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</si>
  <si>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</si>
  <si>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</si>
  <si>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</si>
  <si>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</si>
  <si>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</si>
  <si>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</si>
  <si>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</si>
  <si>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</si>
  <si>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</si>
  <si>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</si>
  <si>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</si>
  <si>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</si>
  <si>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</si>
  <si>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</si>
  <si>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</si>
  <si>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</si>
  <si>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</si>
  <si>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</si>
  <si>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</si>
  <si>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</si>
  <si>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</si>
  <si>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</si>
  <si>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</si>
  <si>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</si>
  <si>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</si>
  <si>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</si>
  <si>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</si>
  <si>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</si>
  <si>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</si>
  <si>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</si>
  <si>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</si>
  <si>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</si>
  <si>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</si>
  <si>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</si>
  <si>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</si>
  <si>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</si>
  <si>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</si>
  <si>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</si>
  <si>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</si>
  <si>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</si>
  <si>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</si>
  <si>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</si>
  <si>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</si>
  <si>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</si>
  <si>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</si>
  <si>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</si>
  <si>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</si>
  <si>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</si>
  <si>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</si>
  <si>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</si>
  <si>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</si>
  <si>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</si>
  <si>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</si>
  <si>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</si>
  <si>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</si>
  <si>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</si>
  <si>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</si>
  <si>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</si>
  <si>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</si>
  <si>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</si>
  <si>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</si>
  <si>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</si>
  <si>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</si>
  <si>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</si>
  <si>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</si>
  <si>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</si>
  <si>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</si>
  <si>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</si>
  <si>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</si>
  <si>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</si>
  <si>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</si>
  <si>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</si>
  <si>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</si>
  <si>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</si>
  <si>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</si>
  <si>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</si>
  <si>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</si>
  <si>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</si>
  <si>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</si>
  <si>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</si>
  <si>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</si>
  <si>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</si>
  <si>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</si>
  <si>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</si>
  <si>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</si>
  <si>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</si>
  <si>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</si>
  <si>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</si>
  <si>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</si>
  <si>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</si>
  <si>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</si>
  <si>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</si>
  <si>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</si>
  <si>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</si>
  <si>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</si>
  <si>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</si>
  <si>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</si>
  <si>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</si>
  <si>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</si>
  <si>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</si>
  <si>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</si>
  <si>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</si>
  <si>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</si>
  <si>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</si>
  <si>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</si>
  <si>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</si>
  <si>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</si>
  <si>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</si>
  <si>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</si>
  <si>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</si>
  <si>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</si>
  <si>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</si>
  <si>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</si>
  <si>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</si>
  <si>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</si>
  <si>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</si>
  <si>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</si>
  <si>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</si>
  <si>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</si>
  <si>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</si>
  <si>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</si>
  <si>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</si>
  <si>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</si>
  <si>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</si>
  <si>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</si>
  <si>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</si>
  <si>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</si>
  <si>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</si>
  <si>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</si>
  <si>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</si>
  <si>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</si>
  <si>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</si>
  <si>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</si>
  <si>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</si>
  <si>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</si>
  <si>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</si>
  <si>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</si>
  <si>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</si>
  <si>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</si>
  <si>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</si>
  <si>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</si>
  <si>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</si>
  <si>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</si>
  <si>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</si>
  <si>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</si>
  <si>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</si>
  <si>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</si>
  <si>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</si>
  <si>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</si>
  <si>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</si>
  <si>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</si>
  <si>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</si>
  <si>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</si>
  <si>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</si>
  <si>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</si>
  <si>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</si>
  <si>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</si>
  <si>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</si>
  <si>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</si>
  <si>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</si>
  <si>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</si>
  <si>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</si>
  <si>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</si>
  <si>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</si>
  <si>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</si>
  <si>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</si>
  <si>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</si>
  <si>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</si>
  <si>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</si>
  <si>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</si>
  <si>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</si>
  <si>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</si>
  <si>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</si>
  <si>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</si>
  <si>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</si>
  <si>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</si>
  <si>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</si>
  <si>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</si>
  <si>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</si>
  <si>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</si>
  <si>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</si>
  <si>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</si>
  <si>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</si>
  <si>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</si>
  <si>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</si>
  <si>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</si>
  <si>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</si>
  <si>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</si>
  <si>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</si>
  <si>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</si>
  <si>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</si>
  <si>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</si>
  <si>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</si>
  <si>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</si>
  <si>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</si>
  <si>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</si>
  <si>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</si>
  <si>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</si>
  <si>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</si>
  <si>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</si>
  <si>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</si>
  <si>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</si>
  <si>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</si>
  <si>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</si>
  <si>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</si>
  <si>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</si>
  <si>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</si>
  <si>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</si>
  <si>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</si>
  <si>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</si>
  <si>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</si>
  <si>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</si>
  <si>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</si>
  <si>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</si>
  <si>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</si>
  <si>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</si>
  <si>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</si>
  <si>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</si>
  <si>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</si>
  <si>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</si>
  <si>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</si>
  <si>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</si>
  <si>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</si>
  <si>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</si>
  <si>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</si>
  <si>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</si>
  <si>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</si>
  <si>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</si>
  <si>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</si>
  <si>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</si>
  <si>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</si>
  <si>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</si>
  <si>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</si>
  <si>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</si>
  <si>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</si>
  <si>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</si>
  <si>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</si>
  <si>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</si>
  <si>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</si>
  <si>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</si>
  <si>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</si>
  <si>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</si>
  <si>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</si>
  <si>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</si>
  <si>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</si>
  <si>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</si>
  <si>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</si>
  <si>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</si>
  <si>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</si>
  <si>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</si>
  <si>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</si>
  <si>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</si>
  <si>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</si>
  <si>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</si>
  <si>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</si>
  <si>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</si>
  <si>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</si>
  <si>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</si>
  <si>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</si>
  <si>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</si>
  <si>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</si>
  <si>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</si>
  <si>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</si>
  <si>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</si>
  <si>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</si>
  <si>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</si>
  <si>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</si>
  <si>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</si>
  <si>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</si>
  <si>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</si>
  <si>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</si>
  <si>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</si>
  <si>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</si>
  <si>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</si>
  <si>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</si>
  <si>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</si>
  <si>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</si>
  <si>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</si>
  <si>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</si>
  <si>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</si>
  <si>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</si>
  <si>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</si>
  <si>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</si>
  <si>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</si>
  <si>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</si>
  <si>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</si>
  <si>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</si>
  <si>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</si>
  <si>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</si>
  <si>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</si>
  <si>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</si>
  <si>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</si>
  <si>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</si>
  <si>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</si>
  <si>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</si>
  <si>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</si>
  <si>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</si>
  <si>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</si>
  <si>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</si>
  <si>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</si>
  <si>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</si>
  <si>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</si>
  <si>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</si>
  <si>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</si>
  <si>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</si>
  <si>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</si>
  <si>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</si>
  <si>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</si>
  <si>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</si>
  <si>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</si>
  <si>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</si>
  <si>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</si>
  <si>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</si>
  <si>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</si>
  <si>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</si>
  <si>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</si>
  <si>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</si>
  <si>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</si>
  <si>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</si>
  <si>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</si>
  <si>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</si>
  <si>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</si>
  <si>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</si>
  <si>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</si>
  <si>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</si>
  <si>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</si>
  <si>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</si>
  <si>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</si>
  <si>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</si>
  <si>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</si>
  <si>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</si>
  <si>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</si>
  <si>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</si>
  <si>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</si>
  <si>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</si>
  <si>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</si>
  <si>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</si>
  <si>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</si>
  <si>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</si>
  <si>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</si>
  <si>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</si>
  <si>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</si>
  <si>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</si>
  <si>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</si>
  <si>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</si>
  <si>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</si>
  <si>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</si>
  <si>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</si>
  <si>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</si>
  <si>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</si>
  <si>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</si>
  <si>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</si>
  <si>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</si>
  <si>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</si>
  <si>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</si>
  <si>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</si>
  <si>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</si>
  <si>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</si>
  <si>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</si>
  <si>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</si>
  <si>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</si>
  <si>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</si>
  <si>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</si>
  <si>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</si>
  <si>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</si>
  <si>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</si>
  <si>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</si>
  <si>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</si>
  <si>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</si>
  <si>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</si>
  <si>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</si>
  <si>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</si>
  <si>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</si>
  <si>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</si>
  <si>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</si>
  <si>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</si>
  <si>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</si>
  <si>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</si>
  <si>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</si>
  <si>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</si>
  <si>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</si>
  <si>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</si>
  <si>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</si>
  <si>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</si>
  <si>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</si>
  <si>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</si>
  <si>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</si>
  <si>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</si>
  <si>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</si>
  <si>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</si>
  <si>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</si>
  <si>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</si>
  <si>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</si>
  <si>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</si>
  <si>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</si>
  <si>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</si>
  <si>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</si>
  <si>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</si>
  <si>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</si>
  <si>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</si>
  <si>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</si>
  <si>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</si>
  <si>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</si>
  <si>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</si>
  <si>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</si>
  <si>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</si>
  <si>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</si>
  <si>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</si>
  <si>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</si>
  <si>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</si>
  <si>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</si>
  <si>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</si>
  <si>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</si>
  <si>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</si>
  <si>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</si>
  <si>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</si>
  <si>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</si>
  <si>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</si>
  <si>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</si>
  <si>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</si>
  <si>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</si>
  <si>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</si>
  <si>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</si>
  <si>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</si>
  <si>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</si>
  <si>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</si>
  <si>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</si>
  <si>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</si>
  <si>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</si>
  <si>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</si>
  <si>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</si>
  <si>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</si>
  <si>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</si>
  <si>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</si>
  <si>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</si>
  <si>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</si>
  <si>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</si>
  <si>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</si>
  <si>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</si>
  <si>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</si>
  <si>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</si>
  <si>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</si>
  <si>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</si>
  <si>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</si>
  <si>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</si>
  <si>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</si>
  <si>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</si>
  <si>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</si>
  <si>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</si>
  <si>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</si>
  <si>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</si>
  <si>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</si>
  <si>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</si>
  <si>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</si>
  <si>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</si>
  <si>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</si>
  <si>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</si>
  <si>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</si>
  <si>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</si>
  <si>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</si>
  <si>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</si>
  <si>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</si>
  <si>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</si>
  <si>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</si>
  <si>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</si>
  <si>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</si>
  <si>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</si>
  <si>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</si>
  <si>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</si>
  <si>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</si>
  <si>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</si>
  <si>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</si>
  <si>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</si>
  <si>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</si>
  <si>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</si>
  <si>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</si>
  <si>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</si>
  <si>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</si>
  <si>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</si>
  <si>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</si>
  <si>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</si>
  <si>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</si>
  <si>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</si>
  <si>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</si>
  <si>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</si>
  <si>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</si>
  <si>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</si>
  <si>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</si>
  <si>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</si>
  <si>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</si>
  <si>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</si>
  <si>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</si>
  <si>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</si>
  <si>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</si>
  <si>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</si>
  <si>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</si>
  <si>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</si>
  <si>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</si>
  <si>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</si>
  <si>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</si>
  <si>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</si>
  <si>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</si>
  <si>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</si>
  <si>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</si>
  <si>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</si>
  <si>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</si>
  <si>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</si>
  <si>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</si>
  <si>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</si>
  <si>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</si>
  <si>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</si>
  <si>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</si>
  <si>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</si>
  <si>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</si>
  <si>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</si>
  <si>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</si>
  <si>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</si>
  <si>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</si>
  <si>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</si>
  <si>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</si>
  <si>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</si>
  <si>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</si>
  <si>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</si>
  <si>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</si>
  <si>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</si>
  <si>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</si>
  <si>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</si>
  <si>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</si>
  <si>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</si>
  <si>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</si>
  <si>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</si>
  <si>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</si>
  <si>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</si>
  <si>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</si>
  <si>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</si>
  <si>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</si>
  <si>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</si>
  <si>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</si>
  <si>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</si>
  <si>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</si>
  <si>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</si>
  <si>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</si>
  <si>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</si>
  <si>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</si>
  <si>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</si>
  <si>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</si>
  <si>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</si>
  <si>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</si>
  <si>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</si>
  <si>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</si>
  <si>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</si>
  <si>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</si>
  <si>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</si>
  <si>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</si>
  <si>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</si>
  <si>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</si>
  <si>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</si>
  <si>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</si>
  <si>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</si>
  <si>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</si>
  <si>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</si>
  <si>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</si>
  <si>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</si>
  <si>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</si>
  <si>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</si>
  <si>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</si>
  <si>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</si>
  <si>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</si>
  <si>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</si>
  <si>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</si>
  <si>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</si>
  <si>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</si>
  <si>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</si>
  <si>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</si>
  <si>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</si>
  <si>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</si>
  <si>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</si>
  <si>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</si>
  <si>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</si>
  <si>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</si>
  <si>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</si>
  <si>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</si>
  <si>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</si>
  <si>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</si>
  <si>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</si>
  <si>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</si>
  <si>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</si>
  <si>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</si>
  <si>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</si>
  <si>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</si>
  <si>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</si>
  <si>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</si>
  <si>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</si>
  <si>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</si>
  <si>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</si>
  <si>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</si>
  <si>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</si>
  <si>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</si>
  <si>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</si>
  <si>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</si>
  <si>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</si>
  <si>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</si>
  <si>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</si>
  <si>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</si>
  <si>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</si>
  <si>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</si>
  <si>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</si>
  <si>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</si>
  <si>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</si>
  <si>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</si>
  <si>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</si>
  <si>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</si>
  <si>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</si>
  <si>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</si>
  <si>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</si>
  <si>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</si>
  <si>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</si>
  <si>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</si>
  <si>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</si>
  <si>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</si>
  <si>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</si>
  <si>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</si>
  <si>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</si>
  <si>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</si>
  <si>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</si>
  <si>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</si>
  <si>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</si>
  <si>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</si>
  <si>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</si>
  <si>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</si>
  <si>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</si>
  <si>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</si>
  <si>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</si>
  <si>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</si>
  <si>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</si>
  <si>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</si>
  <si>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</si>
  <si>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</si>
  <si>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</si>
  <si>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</si>
  <si>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</si>
  <si>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</si>
  <si>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</si>
  <si>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</si>
  <si>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</si>
  <si>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</si>
  <si>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</si>
  <si>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</si>
  <si>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</si>
  <si>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</si>
  <si>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</si>
  <si>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</si>
  <si>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</si>
  <si>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</si>
  <si>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</si>
  <si>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</si>
  <si>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</si>
  <si>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</si>
  <si>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</si>
  <si>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</si>
  <si>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</si>
  <si>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</si>
  <si>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</si>
  <si>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</si>
  <si>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</si>
  <si>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</si>
  <si>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</si>
  <si>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</si>
  <si>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</si>
  <si>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</si>
  <si>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</si>
  <si>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</si>
  <si>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</si>
  <si>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</si>
  <si>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</si>
  <si>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</si>
  <si>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</si>
  <si>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</si>
  <si>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</si>
  <si>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</si>
  <si>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</si>
  <si>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</si>
  <si>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</si>
  <si>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</si>
  <si>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</si>
  <si>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</si>
  <si>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</si>
  <si>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</si>
  <si>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</si>
  <si>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</si>
  <si>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</si>
  <si>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</si>
  <si>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</si>
  <si>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</si>
  <si>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</si>
  <si>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</si>
  <si>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</si>
  <si>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</si>
  <si>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</si>
  <si>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</si>
  <si>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</si>
  <si>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</si>
  <si>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</si>
  <si>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</si>
  <si>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</si>
  <si>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</si>
  <si>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</si>
  <si>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</si>
  <si>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</si>
  <si>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</si>
  <si>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</si>
  <si>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</si>
  <si>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</si>
  <si>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</si>
  <si>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</si>
  <si>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</si>
  <si>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</si>
  <si>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</si>
  <si>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</si>
  <si>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</si>
  <si>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</si>
  <si>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</si>
  <si>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</si>
  <si>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</si>
  <si>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</si>
  <si>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</si>
  <si>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</si>
  <si>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</si>
  <si>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</si>
  <si>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</si>
  <si>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</si>
  <si>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</si>
  <si>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</si>
  <si>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</si>
  <si>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</si>
  <si>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</si>
  <si>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</si>
  <si>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</si>
  <si>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</si>
  <si>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</si>
  <si>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</si>
  <si>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</si>
  <si>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</si>
  <si>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</si>
  <si>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</si>
  <si>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</si>
  <si>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</si>
  <si>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</si>
  <si>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</si>
  <si>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</si>
  <si>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</si>
  <si>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</si>
  <si>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</si>
  <si>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</si>
  <si>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</si>
  <si>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</si>
  <si>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</si>
  <si>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</si>
  <si>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</si>
  <si>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</si>
  <si>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</si>
  <si>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</si>
  <si>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</si>
  <si>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</si>
  <si>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</si>
  <si>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</si>
  <si>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</si>
  <si>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</si>
  <si>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</si>
  <si>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</si>
  <si>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</si>
  <si>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</si>
  <si>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</si>
  <si>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</si>
  <si>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</si>
  <si>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</si>
  <si>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</si>
  <si>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</si>
  <si>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</si>
  <si>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</si>
  <si>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</si>
  <si>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</si>
  <si>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</si>
  <si>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</si>
  <si>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</si>
  <si>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</si>
  <si>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</si>
  <si>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</si>
  <si>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</si>
  <si>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</si>
  <si>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</si>
  <si>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</si>
  <si>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</si>
  <si>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</si>
  <si>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</si>
  <si>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</si>
  <si>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</si>
  <si>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</si>
  <si>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</si>
  <si>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</si>
  <si>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</si>
  <si>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</si>
  <si>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</si>
  <si>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</si>
  <si>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</si>
  <si>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</si>
  <si>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</si>
  <si>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</si>
  <si>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</si>
  <si>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</si>
  <si>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</si>
  <si>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</si>
  <si>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</si>
  <si>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</si>
  <si>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</si>
  <si>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</si>
  <si>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</si>
  <si>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</si>
  <si>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</si>
  <si>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</si>
  <si>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</si>
  <si>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</si>
  <si>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</si>
  <si>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</si>
  <si>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</si>
  <si>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</si>
  <si>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</si>
  <si>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</si>
  <si>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</si>
  <si>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</si>
  <si>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</si>
  <si>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</si>
  <si>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</si>
  <si>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</si>
  <si>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</si>
  <si>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</si>
  <si>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</si>
  <si>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</si>
  <si>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</si>
  <si>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</si>
  <si>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</si>
  <si>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</si>
  <si>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</si>
  <si>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</si>
  <si>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</si>
  <si>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</si>
  <si>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</si>
  <si>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</si>
  <si>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</si>
  <si>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</si>
  <si>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</si>
  <si>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</si>
  <si>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</si>
  <si>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</si>
  <si>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</si>
  <si>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</si>
  <si>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</si>
  <si>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</si>
  <si>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</si>
  <si>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</si>
  <si>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</si>
  <si>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</si>
  <si>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</si>
  <si>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</si>
  <si>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</si>
  <si>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</si>
  <si>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</si>
  <si>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</si>
  <si>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</si>
  <si>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</si>
  <si>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</si>
  <si>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</si>
  <si>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</si>
  <si>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</si>
  <si>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</si>
  <si>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</si>
  <si>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</si>
  <si>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</si>
  <si>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</si>
  <si>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</si>
  <si>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</si>
  <si>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</si>
  <si>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</si>
  <si>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</si>
  <si>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</si>
  <si>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</si>
  <si>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</si>
  <si>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</si>
  <si>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</si>
  <si>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</si>
  <si>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</si>
  <si>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</si>
  <si>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</si>
  <si>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</si>
  <si>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</si>
  <si>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</si>
  <si>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</si>
  <si>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</si>
  <si>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</si>
  <si>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</si>
  <si>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</si>
  <si>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</si>
  <si>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</si>
  <si>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</si>
  <si>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</si>
  <si>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</si>
  <si>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</si>
  <si>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</si>
  <si>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</si>
  <si>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</si>
  <si>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</si>
  <si>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</si>
  <si>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</si>
  <si>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</si>
  <si>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</si>
  <si>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</si>
  <si>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</si>
  <si>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</si>
  <si>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</si>
  <si>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</si>
  <si>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</si>
  <si>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</si>
  <si>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</si>
  <si>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</si>
  <si>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</si>
  <si>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</si>
  <si>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</si>
  <si>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</si>
  <si>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</si>
  <si>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</si>
  <si>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</si>
  <si>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</si>
  <si>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</si>
  <si>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</si>
  <si>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</si>
  <si>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</si>
  <si>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</si>
  <si>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</si>
  <si>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</si>
  <si>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</si>
  <si>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</si>
  <si>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</si>
  <si>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</si>
  <si>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</si>
  <si>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</si>
  <si>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</si>
  <si>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</si>
  <si>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</si>
  <si>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</si>
  <si>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</si>
  <si>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</si>
  <si>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</si>
  <si>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</si>
  <si>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</si>
  <si>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</si>
  <si>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</si>
  <si>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</si>
  <si>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</si>
  <si>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</si>
  <si>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</si>
  <si>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</si>
  <si>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</si>
  <si>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</si>
  <si>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</si>
  <si>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</si>
  <si>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</si>
  <si>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</si>
  <si>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</si>
  <si>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</si>
  <si>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</si>
  <si>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</si>
  <si>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</si>
  <si>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</si>
  <si>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</si>
  <si>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</si>
  <si>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</si>
  <si>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</si>
  <si>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</si>
  <si>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</si>
  <si>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</si>
  <si>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</si>
  <si>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</si>
  <si>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</si>
  <si>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</si>
  <si>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</si>
  <si>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</si>
  <si>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</si>
  <si>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</si>
  <si>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</si>
  <si>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</si>
  <si>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</si>
  <si>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</si>
  <si>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</si>
  <si>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</si>
  <si>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</si>
  <si>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</si>
  <si>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</si>
  <si>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</si>
  <si>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</si>
  <si>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</si>
  <si>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</si>
  <si>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</si>
  <si>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</si>
  <si>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</si>
  <si>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</si>
  <si>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</si>
  <si>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</si>
  <si>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</si>
  <si>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</si>
  <si>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</si>
  <si>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</si>
  <si>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</si>
  <si>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</si>
  <si>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</si>
  <si>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</si>
  <si>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</si>
  <si>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</si>
  <si>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</si>
  <si>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</si>
  <si>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</si>
  <si>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</si>
  <si>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</si>
  <si>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</si>
  <si>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</si>
  <si>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</si>
  <si>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</si>
  <si>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</si>
  <si>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</si>
  <si>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</si>
  <si>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</si>
  <si>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</si>
  <si>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</si>
  <si>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</si>
  <si>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</si>
  <si>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</si>
  <si>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</si>
  <si>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</si>
  <si>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</si>
  <si>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</si>
  <si>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</si>
  <si>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</si>
  <si>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</si>
  <si>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</si>
  <si>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</si>
  <si>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</si>
  <si>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</si>
  <si>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</si>
  <si>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</si>
  <si>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</si>
  <si>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</si>
  <si>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</si>
  <si>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</si>
  <si>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</si>
  <si>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</si>
  <si>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</si>
  <si>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</si>
  <si>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</si>
  <si>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</si>
  <si>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</si>
  <si>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</si>
  <si>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</si>
  <si>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</si>
  <si>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</si>
  <si>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</si>
  <si>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</si>
  <si>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</si>
  <si>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</si>
  <si>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</si>
  <si>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</si>
  <si>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</si>
  <si>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</si>
  <si>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</si>
  <si>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</si>
  <si>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</si>
  <si>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</si>
  <si>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</si>
  <si>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</si>
  <si>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</si>
  <si>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</si>
  <si>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</si>
  <si>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</si>
  <si>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</si>
  <si>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</si>
  <si>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</si>
  <si>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</si>
  <si>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</si>
  <si>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</si>
  <si>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</si>
  <si>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</si>
  <si>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</si>
  <si>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</si>
  <si>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</si>
  <si>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</si>
  <si>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</si>
  <si>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</si>
  <si>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</si>
  <si>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</si>
  <si>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</si>
  <si>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</si>
  <si>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</si>
  <si>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</si>
  <si>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</si>
  <si>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</si>
  <si>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</si>
  <si>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</si>
  <si>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</si>
  <si>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</si>
  <si>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</si>
  <si>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</si>
  <si>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</si>
  <si>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</si>
  <si>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</si>
  <si>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</si>
  <si>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</si>
  <si>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</si>
  <si>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</si>
  <si>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</si>
  <si>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</si>
  <si>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</si>
  <si>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</si>
  <si>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</si>
  <si>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</si>
  <si>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</si>
  <si>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</si>
  <si>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</si>
  <si>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</si>
  <si>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</si>
  <si>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</si>
  <si>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</si>
  <si>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</si>
  <si>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</si>
  <si>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</si>
  <si>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</si>
  <si>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</si>
  <si>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</si>
  <si>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</si>
  <si>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</si>
  <si>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</si>
  <si>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</si>
  <si>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</si>
  <si>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</si>
  <si>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</si>
  <si>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</si>
  <si>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</si>
  <si>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</si>
  <si>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</si>
  <si>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</si>
  <si>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</si>
  <si>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</si>
  <si>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</si>
  <si>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</si>
  <si>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</si>
  <si>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</si>
  <si>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</si>
  <si>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</si>
  <si>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</si>
  <si>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</si>
  <si>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</si>
  <si>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</si>
  <si>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</si>
  <si>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</si>
  <si>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</si>
  <si>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</si>
  <si>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</si>
  <si>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</si>
  <si>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</si>
  <si>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</si>
  <si>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</si>
  <si>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</si>
  <si>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</si>
  <si>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</si>
  <si>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</si>
  <si>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</si>
  <si>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</si>
  <si>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</si>
  <si>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</si>
  <si>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</si>
  <si>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</si>
  <si>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</si>
  <si>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</si>
  <si>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</si>
  <si>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</si>
  <si>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</si>
  <si>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</si>
  <si>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</si>
  <si>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</si>
  <si>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</si>
  <si>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</si>
  <si>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</si>
  <si>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</si>
  <si>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</si>
  <si>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</si>
  <si>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</si>
  <si>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</si>
  <si>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</si>
  <si>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</si>
  <si>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</si>
  <si>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</si>
  <si>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</si>
  <si>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</si>
  <si>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</si>
  <si>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</si>
  <si>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</si>
  <si>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</si>
  <si>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</si>
  <si>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</si>
  <si>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</si>
  <si>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</si>
  <si>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</si>
  <si>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</si>
  <si>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</si>
  <si>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</si>
  <si>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</si>
  <si>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</si>
  <si>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</si>
  <si>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</si>
  <si>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</si>
  <si>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</si>
  <si>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</si>
  <si>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</si>
  <si>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</si>
  <si>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</si>
  <si>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</si>
  <si>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</si>
  <si>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</si>
  <si>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</si>
  <si>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</si>
  <si>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</si>
  <si>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</si>
  <si>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</si>
  <si>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</si>
  <si>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</si>
  <si>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</si>
  <si>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</si>
  <si>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</si>
  <si>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</si>
  <si>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</si>
  <si>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</si>
  <si>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</si>
  <si>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</si>
  <si>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</si>
  <si>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</si>
  <si>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</si>
  <si>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</si>
  <si>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</si>
  <si>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</si>
  <si>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</si>
  <si>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</si>
  <si>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</si>
  <si>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</si>
  <si>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</si>
  <si>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</si>
  <si>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</si>
  <si>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</si>
  <si>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</si>
  <si>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</si>
  <si>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</si>
  <si>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</si>
  <si>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</si>
  <si>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</si>
  <si>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</si>
  <si>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</si>
  <si>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</si>
  <si>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</si>
  <si>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</si>
  <si>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</si>
  <si>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</si>
  <si>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</si>
  <si>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</si>
  <si>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</si>
  <si>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</si>
  <si>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</si>
  <si>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</si>
  <si>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</si>
  <si>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</si>
  <si>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</si>
  <si>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</si>
  <si>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</si>
  <si>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</si>
  <si>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</si>
  <si>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</si>
  <si>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</si>
  <si>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</si>
  <si>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</si>
  <si>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</si>
  <si>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</si>
  <si>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</si>
  <si>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</si>
  <si>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</si>
  <si>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</si>
  <si>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</si>
  <si>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</si>
  <si>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</si>
  <si>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</si>
  <si>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</si>
  <si>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</si>
  <si>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</si>
  <si>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</si>
  <si>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</si>
  <si>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</si>
  <si>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</si>
  <si>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</si>
  <si>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</si>
  <si>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</si>
  <si>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</si>
  <si>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</si>
  <si>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</si>
  <si>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</si>
  <si>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</si>
  <si>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</si>
  <si>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</si>
  <si>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</si>
  <si>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</si>
  <si>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</si>
  <si>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</si>
  <si>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</si>
  <si>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</si>
  <si>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</si>
  <si>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</si>
  <si>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</si>
  <si>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</si>
  <si>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</si>
  <si>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</si>
  <si>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</si>
  <si>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</si>
  <si>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</si>
  <si>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</si>
  <si>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</si>
  <si>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</si>
  <si>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</si>
  <si>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</si>
  <si>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</si>
  <si>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</si>
  <si>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</si>
  <si>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</si>
  <si>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</si>
  <si>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</si>
  <si>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</si>
  <si>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</si>
  <si>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</si>
  <si>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</si>
  <si>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</si>
  <si>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</si>
  <si>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</si>
  <si>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</si>
  <si>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</si>
  <si>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</si>
  <si>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</si>
  <si>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</si>
  <si>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</si>
  <si>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</si>
  <si>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</si>
  <si>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</si>
  <si>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</si>
  <si>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</si>
  <si>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</si>
  <si>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</si>
  <si>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</si>
  <si>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</si>
  <si>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</si>
  <si>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</si>
  <si>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</si>
  <si>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</si>
  <si>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</si>
  <si>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</si>
  <si>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</si>
  <si>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</si>
  <si>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</si>
  <si>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</si>
  <si>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</si>
  <si>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</si>
  <si>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</si>
  <si>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</si>
  <si>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</si>
  <si>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</si>
  <si>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</si>
  <si>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</si>
  <si>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</si>
  <si>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</si>
  <si>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</si>
  <si>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</si>
  <si>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</si>
  <si>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</si>
  <si>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</si>
  <si>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</si>
  <si>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</si>
  <si>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</si>
  <si>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</si>
  <si>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</si>
  <si>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</si>
  <si>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</si>
  <si>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</si>
  <si>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</si>
  <si>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</si>
  <si>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</si>
  <si>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</si>
  <si>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</si>
  <si>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</si>
  <si>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</si>
  <si>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</si>
  <si>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</si>
  <si>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</si>
  <si>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</si>
  <si>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</si>
  <si>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</si>
  <si>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</si>
  <si>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</si>
  <si>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</si>
  <si>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</si>
  <si>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</si>
  <si>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</si>
  <si>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</si>
  <si>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</si>
  <si>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</si>
  <si>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</si>
  <si>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</si>
  <si>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</si>
  <si>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</si>
  <si>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</si>
  <si>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</si>
  <si>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</si>
  <si>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</si>
  <si>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</si>
  <si>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</si>
  <si>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</si>
  <si>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</si>
  <si>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</si>
  <si>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</si>
  <si>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</si>
  <si>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</si>
  <si>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</si>
  <si>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</si>
  <si>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</si>
  <si>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</si>
  <si>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</si>
  <si>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</si>
  <si>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</si>
  <si>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</si>
  <si>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</si>
  <si>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</si>
  <si>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</si>
  <si>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</si>
  <si>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</si>
  <si>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</si>
  <si>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</si>
  <si>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</si>
  <si>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</si>
  <si>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</si>
  <si>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</si>
  <si>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</si>
  <si>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</si>
  <si>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</si>
  <si>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</si>
  <si>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</si>
  <si>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</si>
  <si>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</si>
  <si>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</si>
  <si>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</si>
  <si>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</si>
  <si>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</si>
  <si>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</si>
  <si>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</si>
  <si>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</si>
  <si>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</si>
  <si>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</si>
  <si>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</si>
  <si>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</si>
  <si>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</si>
  <si>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</si>
  <si>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</si>
  <si>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</si>
  <si>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</si>
  <si>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</si>
  <si>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</si>
  <si>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</si>
  <si>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</si>
  <si>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</si>
  <si>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</si>
  <si>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</si>
  <si>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</si>
  <si>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</si>
  <si>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</si>
  <si>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</si>
  <si>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</si>
  <si>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</si>
  <si>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</si>
  <si>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</si>
  <si>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</si>
  <si>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</si>
  <si>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</si>
  <si>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</si>
  <si>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</si>
  <si>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</si>
  <si>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</si>
  <si>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</si>
  <si>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</si>
  <si>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</si>
  <si>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</si>
  <si>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</si>
  <si>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</si>
  <si>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</si>
  <si>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</si>
  <si>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</si>
  <si>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</si>
  <si>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</si>
  <si>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</si>
  <si>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</si>
  <si>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</si>
  <si>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</si>
  <si>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</si>
  <si>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</si>
  <si>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</si>
  <si>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</si>
  <si>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</si>
  <si>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</si>
  <si>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</si>
  <si>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</si>
  <si>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</si>
  <si>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</si>
  <si>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</si>
  <si>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</si>
  <si>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</si>
  <si>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</si>
  <si>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</si>
  <si>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</si>
  <si>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</si>
  <si>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</si>
  <si>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</si>
  <si>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</si>
  <si>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</si>
  <si>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</si>
  <si>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</si>
  <si>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</si>
  <si>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</si>
  <si>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</si>
  <si>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</si>
  <si>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</si>
  <si>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</si>
  <si>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</si>
  <si>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</si>
  <si>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</si>
  <si>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</si>
  <si>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</si>
  <si>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</si>
  <si>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</si>
  <si>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</si>
  <si>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</si>
  <si>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</si>
  <si>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</si>
  <si>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</si>
  <si>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</si>
  <si>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</si>
  <si>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</si>
  <si>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</si>
  <si>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</si>
  <si>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</si>
  <si>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</si>
  <si>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</si>
  <si>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</si>
  <si>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</si>
  <si>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</si>
  <si>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</si>
  <si>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</si>
  <si>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</si>
  <si>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</si>
  <si>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</si>
  <si>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</si>
  <si>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</si>
  <si>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</si>
  <si>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</si>
  <si>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</si>
  <si>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</si>
  <si>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</si>
  <si>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</si>
  <si>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</si>
  <si>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</si>
  <si>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</si>
  <si>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</si>
  <si>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</si>
  <si>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</si>
  <si>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</si>
  <si>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</si>
  <si>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</si>
  <si>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</si>
  <si>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</si>
  <si>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</si>
  <si>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</si>
  <si>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</si>
  <si>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</si>
  <si>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</si>
  <si>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</si>
  <si>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</si>
  <si>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</si>
  <si>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</si>
  <si>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</si>
  <si>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</si>
  <si>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</si>
  <si>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</si>
  <si>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</si>
  <si>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</si>
  <si>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</si>
  <si>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</si>
  <si>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</si>
  <si>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</si>
  <si>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</si>
  <si>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</si>
  <si>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</si>
  <si>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</si>
  <si>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</si>
  <si>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</si>
  <si>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</si>
  <si>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</si>
  <si>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</si>
  <si>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</si>
  <si>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</si>
  <si>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</si>
  <si>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</si>
  <si>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</si>
  <si>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</si>
  <si>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</si>
  <si>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</si>
  <si>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</si>
  <si>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</si>
  <si>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</si>
  <si>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</si>
  <si>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</si>
  <si>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</si>
  <si>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</si>
  <si>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</si>
  <si>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</si>
  <si>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</si>
  <si>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</si>
  <si>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</si>
  <si>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</si>
  <si>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</si>
  <si>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</si>
  <si>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</si>
  <si>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</si>
  <si>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</si>
  <si>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</si>
  <si>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</si>
  <si>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</si>
  <si>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</si>
  <si>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</si>
  <si>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</si>
  <si>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</si>
  <si>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</si>
  <si>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</si>
  <si>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</si>
  <si>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</si>
  <si>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</si>
  <si>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</si>
  <si>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</si>
  <si>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</si>
  <si>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</si>
  <si>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</si>
  <si>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</si>
  <si>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</si>
  <si>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</si>
  <si>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</si>
  <si>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</si>
  <si>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</si>
  <si>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</si>
  <si>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</si>
  <si>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</si>
  <si>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</si>
  <si>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</si>
  <si>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</si>
  <si>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</si>
  <si>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</si>
  <si>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</si>
  <si>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</si>
  <si>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</si>
  <si>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</si>
  <si>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</si>
  <si>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</si>
  <si>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</si>
  <si>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</si>
  <si>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</si>
  <si>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</si>
  <si>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</si>
  <si>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</si>
  <si>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</si>
  <si>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</si>
  <si>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</si>
  <si>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</si>
  <si>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</si>
  <si>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</si>
  <si>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</si>
  <si>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</si>
  <si>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</si>
  <si>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</si>
  <si>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</si>
  <si>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</si>
  <si>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</si>
  <si>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</si>
  <si>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</si>
  <si>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</si>
  <si>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</si>
  <si>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</si>
  <si>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</si>
  <si>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</si>
  <si>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</si>
  <si>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</si>
  <si>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</si>
  <si>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</si>
  <si>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</si>
  <si>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</si>
  <si>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</si>
  <si>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</si>
  <si>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</si>
  <si>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</si>
  <si>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</si>
  <si>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</si>
  <si>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</si>
  <si>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</si>
  <si>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</si>
  <si>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</si>
  <si>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</si>
  <si>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</si>
  <si>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</si>
  <si>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</si>
  <si>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</si>
  <si>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</si>
  <si>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</si>
  <si>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</si>
  <si>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</si>
  <si>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</si>
  <si>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</si>
  <si>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</si>
  <si>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</si>
  <si>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</si>
  <si>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</si>
  <si>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</si>
  <si>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</si>
  <si>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</si>
  <si>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</si>
  <si>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</si>
  <si>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</si>
  <si>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</si>
  <si>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</si>
  <si>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</si>
  <si>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</si>
  <si>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</si>
  <si>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</si>
  <si>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</si>
  <si>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</si>
  <si>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</si>
  <si>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</si>
  <si>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</si>
  <si>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</si>
  <si>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</si>
  <si>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</si>
  <si>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</si>
  <si>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</si>
  <si>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</si>
  <si>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</si>
  <si>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</si>
  <si>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</si>
  <si>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</si>
  <si>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</si>
  <si>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</si>
  <si>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</si>
  <si>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</si>
  <si>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</si>
  <si>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</si>
  <si>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</si>
  <si>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</si>
  <si>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</si>
  <si>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</si>
  <si>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</si>
  <si>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</si>
  <si>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</si>
  <si>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</si>
  <si>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</si>
  <si>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</si>
  <si>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</si>
  <si>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</si>
  <si>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</si>
  <si>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</si>
  <si>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</si>
  <si>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</si>
  <si>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</si>
  <si>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</si>
  <si>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</si>
  <si>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</si>
  <si>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</si>
  <si>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</si>
  <si>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</si>
  <si>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</si>
  <si>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</si>
  <si>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</si>
  <si>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</si>
  <si>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</si>
  <si>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</si>
  <si>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</si>
  <si>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</si>
  <si>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</si>
  <si>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</si>
  <si>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</si>
  <si>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</si>
  <si>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</si>
  <si>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</si>
  <si>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</si>
  <si>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</si>
  <si>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</si>
  <si>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</si>
  <si>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</si>
  <si>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</si>
  <si>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</si>
  <si>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</si>
  <si>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</si>
  <si>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</si>
  <si>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</si>
  <si>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</si>
  <si>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</si>
  <si>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</si>
  <si>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</si>
  <si>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</si>
  <si>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</si>
  <si>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</si>
  <si>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</si>
  <si>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</si>
  <si>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</si>
  <si>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</si>
  <si>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</si>
  <si>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</si>
  <si>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</si>
  <si>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</si>
  <si>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</si>
  <si>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</si>
  <si>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</si>
  <si>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</si>
  <si>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</si>
  <si>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</si>
  <si>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</si>
  <si>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</si>
  <si>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</si>
  <si>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</si>
  <si>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</si>
  <si>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</si>
  <si>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</si>
  <si>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</si>
  <si>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</si>
  <si>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</si>
  <si>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</si>
  <si>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</si>
  <si>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</si>
  <si>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</si>
  <si>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</si>
  <si>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</si>
  <si>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</si>
  <si>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</si>
  <si>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</si>
  <si>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</si>
  <si>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</si>
  <si>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</si>
  <si>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</si>
  <si>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</si>
  <si>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</si>
  <si>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</si>
  <si>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</si>
  <si>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</si>
  <si>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</si>
  <si>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</si>
  <si>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</si>
  <si>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</si>
  <si>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</si>
  <si>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</si>
  <si>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</si>
  <si>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</si>
  <si>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</si>
  <si>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</si>
  <si>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</si>
  <si>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</si>
  <si>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</si>
  <si>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</si>
  <si>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</si>
  <si>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</si>
  <si>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</si>
  <si>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</si>
  <si>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</si>
  <si>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</si>
  <si>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</si>
  <si>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</si>
  <si>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</si>
  <si>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</si>
  <si>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</si>
  <si>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</si>
  <si>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</si>
  <si>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</si>
  <si>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</si>
  <si>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</si>
  <si>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</si>
  <si>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</si>
  <si>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</si>
  <si>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</si>
  <si>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</si>
  <si>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</si>
  <si>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</si>
  <si>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</si>
  <si>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</si>
  <si>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</si>
  <si>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</si>
  <si>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</si>
  <si>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</si>
  <si>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</si>
  <si>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</si>
  <si>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</si>
  <si>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</si>
  <si>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</si>
  <si>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</si>
  <si>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</si>
  <si>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</si>
  <si>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</si>
  <si>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</si>
  <si>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</si>
  <si>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</si>
  <si>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</si>
  <si>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</si>
  <si>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</si>
  <si>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</si>
  <si>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</si>
  <si>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</si>
  <si>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</si>
  <si>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</si>
  <si>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</si>
  <si>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</si>
  <si>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</si>
  <si>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</si>
  <si>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</si>
  <si>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</si>
  <si>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</si>
  <si>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</si>
  <si>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</si>
  <si>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</si>
  <si>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</si>
  <si>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</si>
  <si>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</si>
  <si>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</si>
  <si>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</si>
  <si>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</si>
  <si>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</si>
  <si>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</si>
  <si>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</si>
  <si>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</si>
  <si>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</si>
  <si>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</si>
  <si>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</si>
  <si>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</si>
  <si>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</si>
  <si>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</si>
  <si>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</si>
  <si>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</si>
  <si>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</si>
  <si>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</si>
  <si>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</si>
  <si>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</si>
  <si>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</si>
  <si>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</si>
  <si>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</si>
  <si>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</si>
  <si>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</si>
  <si>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</si>
  <si>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</si>
  <si>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</si>
  <si>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</si>
  <si>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</si>
  <si>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</si>
  <si>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</si>
  <si>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</si>
  <si>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</si>
  <si>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</si>
  <si>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</si>
  <si>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</si>
  <si>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</si>
  <si>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</si>
  <si>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</si>
  <si>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</si>
  <si>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</si>
  <si>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</si>
  <si>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</si>
  <si>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</si>
  <si>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</si>
  <si>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</si>
  <si>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</si>
  <si>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</si>
  <si>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</si>
  <si>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</si>
  <si>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</si>
  <si>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</si>
  <si>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</si>
  <si>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</si>
  <si>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</si>
  <si>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</si>
  <si>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</si>
  <si>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</si>
  <si>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</si>
  <si>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</si>
  <si>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</si>
  <si>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</si>
  <si>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</si>
  <si>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</si>
  <si>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</si>
  <si>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</si>
  <si>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</si>
  <si>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</si>
  <si>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</si>
  <si>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</si>
  <si>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</si>
  <si>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</si>
  <si>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</si>
  <si>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</si>
  <si>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</si>
  <si>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</si>
  <si>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</si>
  <si>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</si>
  <si>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</si>
  <si>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</si>
  <si>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</si>
  <si>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</si>
  <si>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</si>
  <si>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</si>
  <si>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</si>
  <si>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</si>
  <si>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</si>
  <si>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</si>
  <si>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</si>
  <si>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</si>
  <si>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</si>
  <si>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</si>
  <si>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</si>
  <si>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</si>
  <si>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</si>
  <si>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</si>
  <si>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</si>
  <si>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</si>
  <si>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</si>
  <si>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</si>
  <si>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</si>
  <si>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</si>
  <si>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</si>
  <si>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</si>
  <si>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</si>
  <si>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</si>
  <si>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</si>
  <si>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</si>
  <si>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</si>
  <si>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</si>
  <si>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</si>
  <si>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</si>
  <si>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</si>
  <si>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</si>
  <si>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</si>
  <si>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</si>
  <si>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</si>
  <si>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</si>
  <si>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</si>
  <si>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</si>
  <si>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</si>
  <si>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</si>
  <si>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</si>
  <si>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</si>
  <si>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</si>
  <si>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</si>
  <si>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</si>
  <si>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</si>
  <si>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</si>
  <si>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</si>
  <si>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</si>
  <si>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</si>
  <si>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</si>
  <si>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</si>
  <si>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</si>
  <si>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</si>
  <si>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</si>
  <si>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</si>
  <si>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</si>
  <si>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</si>
  <si>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</si>
  <si>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</si>
  <si>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</si>
  <si>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</si>
  <si>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</si>
  <si>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</si>
  <si>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</si>
  <si>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</si>
  <si>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</si>
  <si>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</si>
  <si>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</si>
  <si>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</si>
  <si>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</si>
  <si>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</si>
  <si>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</si>
  <si>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</si>
  <si>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</si>
  <si>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</si>
  <si>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</si>
  <si>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</si>
  <si>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</si>
  <si>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</si>
  <si>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</si>
  <si>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</si>
  <si>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</si>
  <si>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</si>
  <si>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</si>
  <si>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</si>
  <si>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</si>
  <si>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</si>
  <si>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</si>
  <si>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</si>
  <si>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</si>
  <si>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</si>
  <si>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</si>
  <si>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</si>
  <si>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</si>
  <si>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</si>
  <si>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</si>
  <si>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</si>
  <si>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</si>
  <si>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</si>
  <si>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</si>
  <si>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</si>
  <si>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</si>
  <si>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</si>
  <si>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</si>
  <si>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</si>
  <si>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</si>
  <si>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</si>
  <si>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</si>
  <si>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</si>
  <si>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</si>
  <si>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</si>
  <si>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</si>
  <si>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</si>
  <si>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</si>
  <si>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</si>
  <si>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</si>
  <si>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</si>
  <si>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</si>
  <si>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</si>
  <si>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</si>
  <si>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</si>
  <si>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</si>
  <si>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</si>
  <si>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</si>
  <si>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</si>
  <si>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</si>
  <si>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</si>
  <si>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</si>
  <si>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</si>
  <si>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</si>
  <si>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</si>
  <si>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</si>
  <si>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</si>
  <si>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</si>
  <si>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Bourns, Inc.</t>
  </si>
  <si>
    <t>00-825-5754</t>
  </si>
  <si>
    <t>1200 Columbia Ave., Riverside, CA 92507</t>
  </si>
  <si>
    <t>Jessica Martin</t>
  </si>
  <si>
    <t>jessica.martin@bourns.com</t>
  </si>
  <si>
    <t>951-781-5670</t>
  </si>
  <si>
    <t>Marvella Sanchez</t>
  </si>
  <si>
    <t>Product Compliance Engineer, Sr.</t>
  </si>
  <si>
    <t>marvella.sanchez@bourns.com</t>
  </si>
  <si>
    <t>951-781-53070</t>
  </si>
  <si>
    <t>Malaysia Smelting Corp. reports 15-20% Sn from Rwanda and Katanga Province. While in the DRC vicinity, the two locations are not within the recognized conflict areas of eastern DRC. See http://www.msmelt.com/abt_policy.htm.  https://www.msmelt.com/policy-on-conflict-minerals.php</t>
  </si>
  <si>
    <t>100%</t>
  </si>
  <si>
    <t>http://www.bourns.com/docs/RoHS-Content/conflict_metals_statement.pdf?sfvrsn=f2ab84f1_11</t>
  </si>
  <si>
    <t>CAT series</t>
  </si>
  <si>
    <t>Chip arrays</t>
  </si>
  <si>
    <t>CHV series</t>
  </si>
  <si>
    <t>CAY series</t>
  </si>
  <si>
    <t>Chip resistors</t>
  </si>
  <si>
    <t>CR series</t>
  </si>
  <si>
    <t>CRE series</t>
  </si>
  <si>
    <t>CRA series</t>
  </si>
  <si>
    <t>CRF series</t>
  </si>
  <si>
    <t>CRH series</t>
  </si>
  <si>
    <t>CRL series</t>
  </si>
  <si>
    <t>CRM series</t>
  </si>
  <si>
    <t>CRP series</t>
  </si>
  <si>
    <t>CRS series</t>
  </si>
  <si>
    <t>CRT series</t>
  </si>
  <si>
    <t>CST series</t>
  </si>
  <si>
    <t>CHP series</t>
  </si>
  <si>
    <t>CRK series</t>
  </si>
  <si>
    <t>CFG series</t>
  </si>
  <si>
    <t>CFN series</t>
  </si>
  <si>
    <t>CMPSeries</t>
  </si>
  <si>
    <t>CMP series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</si>
</sst>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5">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41" fontId="11" fillId="0" borderId="0" applyFont="0" applyFill="0" applyBorder="0" applyAlignment="0" applyProtection="0"/>
    <xf numFmtId="168"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2" fontId="11" fillId="0" borderId="0" applyFont="0" applyFill="0" applyBorder="0" applyAlignment="0" applyProtection="0"/>
    <xf numFmtId="167" fontId="11" fillId="0" borderId="0" applyFont="0" applyFill="0" applyBorder="0" applyAlignment="0" applyProtection="0"/>
    <xf numFmtId="171"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4" fontId="91"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100"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4" fontId="3" fillId="0" borderId="0"/>
    <xf numFmtId="0" fontId="91" fillId="0" borderId="0"/>
    <xf numFmtId="0" fontId="91" fillId="0" borderId="0"/>
    <xf numFmtId="164"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4" fontId="3" fillId="0" borderId="0"/>
    <xf numFmtId="0" fontId="8" fillId="0" borderId="0"/>
    <xf numFmtId="164" fontId="91" fillId="0" borderId="0"/>
    <xf numFmtId="0" fontId="56" fillId="0" borderId="0"/>
    <xf numFmtId="0" fontId="56" fillId="0" borderId="0"/>
    <xf numFmtId="164" fontId="8" fillId="0" borderId="0"/>
    <xf numFmtId="0" fontId="56" fillId="0" borderId="0"/>
    <xf numFmtId="0" fontId="8" fillId="0" borderId="0"/>
    <xf numFmtId="0" fontId="56" fillId="0" borderId="0"/>
    <xf numFmtId="0" fontId="73" fillId="0" borderId="0">
      <alignment vertical="center"/>
    </xf>
    <xf numFmtId="164" fontId="3" fillId="0" borderId="0"/>
    <xf numFmtId="0" fontId="74" fillId="0" borderId="0"/>
    <xf numFmtId="0" fontId="56" fillId="0" borderId="0"/>
    <xf numFmtId="0" fontId="91" fillId="0" borderId="0"/>
    <xf numFmtId="0" fontId="74" fillId="0" borderId="0"/>
    <xf numFmtId="0" fontId="56" fillId="0" borderId="0"/>
    <xf numFmtId="0" fontId="56" fillId="0" borderId="0"/>
    <xf numFmtId="0" fontId="56" fillId="0" borderId="0"/>
    <xf numFmtId="0" fontId="56" fillId="0" borderId="0"/>
    <xf numFmtId="0" fontId="56" fillId="0" borderId="0"/>
    <xf numFmtId="0" fontId="91" fillId="0" borderId="0"/>
    <xf numFmtId="0" fontId="56" fillId="0" borderId="0"/>
    <xf numFmtId="0" fontId="91"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4" fillId="0" borderId="0"/>
    <xf numFmtId="0" fontId="74"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6" fillId="0" borderId="0"/>
    <xf numFmtId="0" fontId="56" fillId="0" borderId="0"/>
    <xf numFmtId="164" fontId="3" fillId="0" borderId="0"/>
    <xf numFmtId="164" fontId="3" fillId="0" borderId="0"/>
    <xf numFmtId="0" fontId="75" fillId="0" borderId="0"/>
    <xf numFmtId="0" fontId="91"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4" fontId="11" fillId="0" borderId="0"/>
    <xf numFmtId="0" fontId="91" fillId="0" borderId="0"/>
    <xf numFmtId="0" fontId="91" fillId="0" borderId="0"/>
    <xf numFmtId="0" fontId="91" fillId="0" borderId="0"/>
    <xf numFmtId="164" fontId="91" fillId="0" borderId="0"/>
    <xf numFmtId="0" fontId="2" fillId="0" borderId="0"/>
    <xf numFmtId="0" fontId="67" fillId="0" borderId="0" applyNumberFormat="0" applyFill="0" applyBorder="0">
      <protection locked="0"/>
    </xf>
    <xf numFmtId="0" fontId="1" fillId="0" borderId="0"/>
  </cellStyleXfs>
  <cellXfs count="401">
    <xf numFmtId="0" fontId="0" fillId="0" borderId="0" xfId="0"/>
    <xf numFmtId="0" fontId="16" fillId="33" borderId="10" xfId="0" applyFont="1" applyFill="1" applyBorder="1" applyAlignment="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Alignment="1">
      <alignment horizontal="center" vertical="center"/>
    </xf>
    <xf numFmtId="0" fontId="10" fillId="33" borderId="0" xfId="0" applyFont="1" applyFill="1"/>
    <xf numFmtId="0" fontId="15"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2" fillId="33" borderId="0" xfId="0" applyFont="1" applyFill="1" applyAlignment="1">
      <alignment vertical="center"/>
    </xf>
    <xf numFmtId="0" fontId="18" fillId="33" borderId="0" xfId="0" applyFont="1" applyFill="1" applyAlignment="1">
      <alignment horizontal="left" wrapText="1"/>
    </xf>
    <xf numFmtId="0" fontId="16" fillId="33" borderId="0" xfId="0" applyFont="1" applyFill="1" applyAlignment="1">
      <alignment vertical="center"/>
    </xf>
    <xf numFmtId="0" fontId="16" fillId="33" borderId="0" xfId="0" applyFont="1" applyFill="1" applyAlignment="1">
      <alignment horizontal="center" vertical="center"/>
    </xf>
    <xf numFmtId="0" fontId="0" fillId="33" borderId="0" xfId="0" applyFill="1" applyAlignment="1">
      <alignment vertical="top"/>
    </xf>
    <xf numFmtId="0" fontId="10" fillId="33" borderId="0" xfId="0" applyFont="1" applyFill="1" applyProtection="1">
      <protection hidden="1"/>
    </xf>
    <xf numFmtId="0" fontId="12" fillId="33" borderId="0" xfId="0" applyFont="1" applyFill="1" applyAlignment="1" applyProtection="1">
      <alignment horizontal="center" vertical="top"/>
      <protection hidden="1"/>
    </xf>
    <xf numFmtId="0" fontId="12" fillId="33" borderId="0" xfId="0" applyFont="1" applyFill="1" applyAlignment="1" applyProtection="1">
      <alignment vertical="center"/>
      <protection hidden="1"/>
    </xf>
    <xf numFmtId="0" fontId="16"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Alignment="1" applyProtection="1">
      <alignment horizontal="right" vertical="center"/>
      <protection hidden="1"/>
    </xf>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6" fillId="33" borderId="18" xfId="570" applyFont="1" applyFill="1" applyBorder="1" applyAlignment="1">
      <alignment vertical="top" wrapText="1"/>
    </xf>
    <xf numFmtId="164" fontId="26" fillId="33" borderId="18" xfId="570" applyNumberFormat="1" applyFont="1" applyFill="1" applyBorder="1" applyAlignment="1">
      <alignment horizontal="center" vertical="top" wrapText="1"/>
    </xf>
    <xf numFmtId="0" fontId="12" fillId="33" borderId="0" xfId="0" applyFont="1" applyFill="1" applyAlignment="1">
      <alignment horizontal="left"/>
    </xf>
    <xf numFmtId="0" fontId="15" fillId="33" borderId="0" xfId="0" applyFont="1" applyFill="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2" fillId="33" borderId="21" xfId="0" applyFont="1" applyFill="1" applyBorder="1" applyAlignment="1">
      <alignment vertical="center"/>
    </xf>
    <xf numFmtId="0" fontId="4" fillId="33" borderId="16" xfId="0" applyFont="1" applyFill="1" applyBorder="1" applyAlignment="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lignment vertical="center"/>
    </xf>
    <xf numFmtId="0" fontId="4" fillId="33" borderId="24" xfId="0" applyFont="1" applyFill="1" applyBorder="1" applyAlignment="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lignment vertical="center"/>
    </xf>
    <xf numFmtId="0" fontId="12" fillId="33" borderId="25" xfId="0" applyFont="1" applyFill="1" applyBorder="1" applyAlignment="1">
      <alignment vertical="center"/>
    </xf>
    <xf numFmtId="0" fontId="4" fillId="33" borderId="26" xfId="0" applyFont="1" applyFill="1" applyBorder="1" applyAlignment="1">
      <alignment vertical="center"/>
    </xf>
    <xf numFmtId="0" fontId="15" fillId="33" borderId="27" xfId="0" applyFont="1" applyFill="1" applyBorder="1" applyAlignment="1" applyProtection="1">
      <alignment wrapText="1"/>
      <protection hidden="1"/>
    </xf>
    <xf numFmtId="0" fontId="0" fillId="34" borderId="19" xfId="0" applyFill="1" applyBorder="1"/>
    <xf numFmtId="0" fontId="15" fillId="33" borderId="28" xfId="0" applyFont="1" applyFill="1" applyBorder="1" applyAlignment="1" applyProtection="1">
      <alignment horizontal="right" vertical="center"/>
      <protection hidden="1"/>
    </xf>
    <xf numFmtId="0" fontId="31" fillId="33" borderId="0" xfId="0" applyFont="1" applyFill="1" applyAlignment="1">
      <alignment horizontal="right" vertical="center"/>
    </xf>
    <xf numFmtId="0" fontId="32" fillId="33" borderId="0" xfId="0" applyFont="1" applyFill="1" applyAlignment="1">
      <alignment vertical="center"/>
    </xf>
    <xf numFmtId="0" fontId="12" fillId="33" borderId="29" xfId="0" applyFont="1" applyFill="1" applyBorder="1" applyAlignment="1">
      <alignment vertical="center"/>
    </xf>
    <xf numFmtId="0" fontId="32" fillId="33" borderId="27" xfId="0" applyFont="1" applyFill="1" applyBorder="1" applyAlignment="1">
      <alignment vertical="center"/>
    </xf>
    <xf numFmtId="0" fontId="12" fillId="33" borderId="30" xfId="0" applyFont="1" applyFill="1" applyBorder="1" applyAlignment="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lignment horizontal="left" vertical="center"/>
    </xf>
    <xf numFmtId="0" fontId="4" fillId="33" borderId="31" xfId="0" applyFont="1" applyFill="1" applyBorder="1" applyAlignment="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lignment vertical="center"/>
    </xf>
    <xf numFmtId="0" fontId="5" fillId="33" borderId="22" xfId="0" applyFont="1" applyFill="1" applyBorder="1" applyAlignment="1" applyProtection="1">
      <alignment horizontal="left" vertical="top" wrapText="1"/>
      <protection hidden="1"/>
    </xf>
    <xf numFmtId="0" fontId="10" fillId="0" borderId="0" xfId="589" applyFont="1"/>
    <xf numFmtId="0" fontId="91"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Alignment="1" applyProtection="1">
      <alignment wrapText="1"/>
      <protection hidden="1"/>
    </xf>
    <xf numFmtId="0" fontId="12" fillId="33" borderId="0" xfId="0" applyFont="1" applyFill="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Alignment="1" applyProtection="1">
      <alignment horizontal="center" vertical="center"/>
      <protection hidden="1"/>
    </xf>
    <xf numFmtId="0" fontId="16"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Alignment="1" applyProtection="1">
      <alignment vertical="center" wrapText="1"/>
      <protection hidden="1"/>
    </xf>
    <xf numFmtId="0" fontId="6" fillId="0" borderId="0" xfId="0" applyFont="1" applyAlignment="1">
      <alignment wrapText="1"/>
    </xf>
    <xf numFmtId="0" fontId="6" fillId="0" borderId="0" xfId="0" applyFont="1"/>
    <xf numFmtId="0" fontId="5" fillId="0" borderId="35" xfId="0" applyFont="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Font="1" applyBorder="1" applyAlignment="1" applyProtection="1">
      <alignment vertical="center" wrapText="1"/>
      <protection hidden="1"/>
    </xf>
    <xf numFmtId="0" fontId="34" fillId="0" borderId="35" xfId="0" applyFont="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30" fillId="0" borderId="0" xfId="0" applyFont="1" applyAlignment="1">
      <alignment horizontal="center" wrapText="1"/>
    </xf>
    <xf numFmtId="0" fontId="6" fillId="0" borderId="15" xfId="0" applyFont="1" applyBorder="1" applyAlignment="1">
      <alignment wrapText="1"/>
    </xf>
    <xf numFmtId="0" fontId="0" fillId="0" borderId="0" xfId="0" applyAlignment="1">
      <alignment vertical="top" wrapText="1"/>
    </xf>
    <xf numFmtId="0" fontId="6" fillId="0" borderId="15" xfId="0" applyFont="1" applyBorder="1" applyAlignment="1">
      <alignment vertical="top" wrapText="1"/>
    </xf>
    <xf numFmtId="0" fontId="5" fillId="0" borderId="0" xfId="0" applyFont="1" applyAlignment="1">
      <alignment wrapText="1"/>
    </xf>
    <xf numFmtId="0" fontId="6" fillId="0" borderId="0" xfId="0" applyFont="1" applyAlignment="1">
      <alignment horizontal="center" wrapText="1"/>
    </xf>
    <xf numFmtId="0" fontId="30" fillId="0" borderId="15" xfId="0" applyFont="1" applyBorder="1" applyAlignment="1">
      <alignment wrapText="1"/>
    </xf>
    <xf numFmtId="0" fontId="33" fillId="0" borderId="0" xfId="0" applyFont="1" applyAlignment="1">
      <alignment horizontal="right" wrapText="1"/>
    </xf>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Alignment="1" applyProtection="1">
      <alignment horizontal="center" vertical="center" wrapText="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lignment vertical="center" wrapText="1"/>
    </xf>
    <xf numFmtId="0" fontId="5" fillId="33" borderId="22" xfId="0" applyFont="1" applyFill="1" applyBorder="1" applyAlignment="1" applyProtection="1">
      <alignment horizontal="left" wrapText="1"/>
      <protection hidden="1"/>
    </xf>
    <xf numFmtId="0" fontId="53" fillId="0" borderId="0" xfId="0" applyFont="1" applyAlignment="1" applyProtection="1">
      <alignment horizontal="right" wrapText="1"/>
      <protection hidden="1"/>
    </xf>
    <xf numFmtId="0" fontId="5" fillId="0" borderId="43" xfId="0" applyFont="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Font="1" applyBorder="1" applyAlignment="1" applyProtection="1">
      <alignment vertical="top" wrapText="1"/>
      <protection hidden="1"/>
    </xf>
    <xf numFmtId="0" fontId="50" fillId="0" borderId="0" xfId="0" applyFont="1"/>
    <xf numFmtId="0" fontId="0" fillId="36" borderId="0" xfId="0" applyFill="1" applyProtection="1">
      <protection hidden="1"/>
    </xf>
    <xf numFmtId="0" fontId="26" fillId="0" borderId="19" xfId="0" applyFont="1" applyBorder="1" applyAlignment="1">
      <alignment vertical="top" wrapText="1"/>
    </xf>
    <xf numFmtId="166" fontId="26" fillId="33" borderId="11" xfId="570" applyNumberFormat="1" applyFont="1" applyFill="1" applyBorder="1" applyAlignment="1">
      <alignment horizontal="center" vertical="top" wrapText="1"/>
    </xf>
    <xf numFmtId="1" fontId="41" fillId="0" borderId="0" xfId="0" applyNumberFormat="1" applyFont="1" applyAlignment="1" applyProtection="1">
      <alignment horizontal="center" vertical="center" wrapText="1"/>
      <protection hidden="1"/>
    </xf>
    <xf numFmtId="0" fontId="39" fillId="0" borderId="0" xfId="0" applyFont="1" applyAlignment="1" applyProtection="1">
      <alignment horizontal="center" vertical="center" wrapText="1"/>
      <protection hidden="1"/>
    </xf>
    <xf numFmtId="0" fontId="0" fillId="0" borderId="45" xfId="0" applyBorder="1"/>
    <xf numFmtId="0" fontId="80" fillId="11" borderId="0" xfId="0" applyFont="1" applyFill="1" applyProtection="1">
      <protection hidden="1"/>
    </xf>
    <xf numFmtId="0" fontId="54" fillId="0" borderId="0" xfId="0" applyFont="1" applyAlignment="1">
      <alignment vertical="top" wrapText="1"/>
    </xf>
    <xf numFmtId="0" fontId="5" fillId="36" borderId="35" xfId="0"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4"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Border="1" applyAlignment="1">
      <alignment wrapText="1"/>
    </xf>
    <xf numFmtId="0" fontId="26" fillId="33" borderId="18" xfId="570" applyFont="1" applyFill="1" applyBorder="1" applyAlignment="1">
      <alignment horizontal="left" vertical="top" wrapText="1"/>
    </xf>
    <xf numFmtId="0" fontId="7" fillId="0" borderId="18" xfId="0" applyFont="1" applyBorder="1" applyAlignment="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10" fillId="33" borderId="0" xfId="0" applyNumberFormat="1" applyFont="1" applyFill="1"/>
    <xf numFmtId="164" fontId="15" fillId="33" borderId="0" xfId="0" applyNumberFormat="1" applyFont="1" applyFill="1" applyAlignment="1">
      <alignment horizontal="center" vertical="center" wrapText="1"/>
    </xf>
    <xf numFmtId="164" fontId="12" fillId="33" borderId="0" xfId="0" applyNumberFormat="1" applyFont="1" applyFill="1" applyAlignment="1">
      <alignment horizontal="center" vertical="center"/>
    </xf>
    <xf numFmtId="164" fontId="28"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0"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Alignment="1" applyProtection="1">
      <alignment vertical="center" wrapText="1"/>
      <protection hidden="1"/>
    </xf>
    <xf numFmtId="0" fontId="47" fillId="33" borderId="0" xfId="0" applyFont="1" applyFill="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29" fillId="0" borderId="0" xfId="0" applyFont="1" applyAlignment="1" applyProtection="1">
      <alignment vertical="center" wrapText="1"/>
      <protection locked="0"/>
    </xf>
    <xf numFmtId="166" fontId="26" fillId="33" borderId="19" xfId="570" applyNumberFormat="1" applyFont="1" applyFill="1" applyBorder="1" applyAlignment="1">
      <alignment horizontal="center" vertical="top" wrapText="1"/>
    </xf>
    <xf numFmtId="0" fontId="6" fillId="0" borderId="35" xfId="0" applyFont="1" applyBorder="1" applyAlignment="1" applyProtection="1">
      <alignment vertical="top" wrapText="1"/>
      <protection hidden="1"/>
    </xf>
    <xf numFmtId="9" fontId="82"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4" fillId="0" borderId="0" xfId="0" applyFont="1" applyAlignment="1" applyProtection="1">
      <alignment vertical="top" wrapText="1"/>
      <protection hidden="1"/>
    </xf>
    <xf numFmtId="0" fontId="52" fillId="0" borderId="0" xfId="0" applyFont="1" applyAlignment="1">
      <alignment vertical="top" wrapText="1"/>
    </xf>
    <xf numFmtId="49" fontId="0" fillId="0" borderId="0" xfId="0" applyNumberFormat="1"/>
    <xf numFmtId="0" fontId="50" fillId="0" borderId="0" xfId="0" applyFont="1" applyAlignment="1">
      <alignment vertical="top" wrapText="1"/>
    </xf>
    <xf numFmtId="9" fontId="50" fillId="0" borderId="0" xfId="0" applyNumberFormat="1" applyFont="1" applyAlignment="1">
      <alignment horizontal="left" vertical="top" wrapText="1"/>
    </xf>
    <xf numFmtId="9" fontId="0" fillId="0" borderId="0" xfId="0" applyNumberFormat="1" applyAlignment="1">
      <alignment horizontal="left" vertical="top" wrapText="1"/>
    </xf>
    <xf numFmtId="0" fontId="54" fillId="36" borderId="19" xfId="0" applyFont="1" applyFill="1" applyBorder="1" applyAlignment="1">
      <alignment vertical="center" wrapText="1"/>
    </xf>
    <xf numFmtId="0" fontId="54"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0" xfId="0" applyFont="1" applyFill="1" applyAlignment="1" applyProtection="1">
      <alignment horizontal="center" vertical="center" wrapText="1"/>
      <protection hidden="1"/>
    </xf>
    <xf numFmtId="0" fontId="16" fillId="33" borderId="10" xfId="0" applyFont="1" applyFill="1" applyBorder="1" applyAlignment="1">
      <alignment vertical="center" wrapText="1"/>
    </xf>
    <xf numFmtId="0" fontId="15" fillId="33" borderId="38" xfId="0" applyFont="1" applyFill="1" applyBorder="1" applyAlignment="1">
      <alignment wrapText="1"/>
    </xf>
    <xf numFmtId="0" fontId="43"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8" fillId="0" borderId="0" xfId="0" applyFont="1" applyAlignment="1">
      <alignment vertical="top" wrapText="1"/>
    </xf>
    <xf numFmtId="0" fontId="0" fillId="36" borderId="19" xfId="0" applyFill="1" applyBorder="1" applyAlignment="1">
      <alignment vertical="center" wrapText="1"/>
    </xf>
    <xf numFmtId="0" fontId="50" fillId="0" borderId="0" xfId="502" applyFont="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90" fillId="0" borderId="35" xfId="0" applyFont="1" applyBorder="1" applyAlignment="1" applyProtection="1">
      <alignment vertical="center" wrapText="1"/>
      <protection hidden="1"/>
    </xf>
    <xf numFmtId="164" fontId="54" fillId="0" borderId="0" xfId="480" applyFont="1" applyAlignment="1">
      <alignment horizontal="left" vertical="top" wrapText="1"/>
    </xf>
    <xf numFmtId="164" fontId="50" fillId="0" borderId="0" xfId="480" applyFont="1" applyAlignment="1">
      <alignment vertical="top" wrapText="1"/>
    </xf>
    <xf numFmtId="0" fontId="82" fillId="0" borderId="0" xfId="502" applyFont="1" applyAlignment="1">
      <alignment horizontal="left" vertical="top" wrapText="1"/>
    </xf>
    <xf numFmtId="0" fontId="50" fillId="0" borderId="0" xfId="0" applyFont="1" applyAlignment="1">
      <alignment horizontal="left" vertical="top" wrapText="1"/>
    </xf>
    <xf numFmtId="0" fontId="50" fillId="0" borderId="0" xfId="569" applyFont="1" applyAlignment="1">
      <alignment vertical="top" wrapText="1"/>
    </xf>
    <xf numFmtId="164" fontId="54" fillId="0" borderId="0" xfId="480" applyFont="1" applyAlignment="1">
      <alignment vertical="top" wrapText="1"/>
    </xf>
    <xf numFmtId="9" fontId="93" fillId="0" borderId="0" xfId="480" applyNumberFormat="1" applyFont="1" applyAlignment="1">
      <alignment horizontal="left" vertical="top" wrapText="1"/>
    </xf>
    <xf numFmtId="0" fontId="82" fillId="0" borderId="0" xfId="502" applyFont="1" applyAlignment="1">
      <alignment horizontal="justify" vertical="top"/>
    </xf>
    <xf numFmtId="0" fontId="50" fillId="0" borderId="0" xfId="502" applyFont="1" applyAlignment="1">
      <alignment horizontal="justify" vertical="top"/>
    </xf>
    <xf numFmtId="0" fontId="50" fillId="0" borderId="0" xfId="0" applyFont="1" applyAlignment="1">
      <alignment horizontal="left" vertical="top"/>
    </xf>
    <xf numFmtId="0" fontId="93" fillId="0" borderId="0" xfId="502" applyFont="1" applyAlignment="1">
      <alignment horizontal="justify" vertical="top"/>
    </xf>
    <xf numFmtId="0" fontId="55" fillId="0" borderId="0" xfId="502" applyFont="1" applyAlignment="1">
      <alignment horizontal="left" vertical="top" wrapText="1"/>
    </xf>
    <xf numFmtId="0" fontId="93" fillId="0" borderId="0" xfId="502" applyFont="1" applyAlignment="1">
      <alignment horizontal="left" vertical="top" wrapText="1"/>
    </xf>
    <xf numFmtId="0" fontId="94" fillId="0" borderId="0" xfId="502" applyFont="1" applyAlignment="1">
      <alignment vertical="top" wrapText="1"/>
    </xf>
    <xf numFmtId="0" fontId="82" fillId="0" borderId="0" xfId="502" applyFont="1" applyAlignment="1">
      <alignment vertical="top" wrapText="1"/>
    </xf>
    <xf numFmtId="0" fontId="95" fillId="0" borderId="0" xfId="0" applyFont="1"/>
    <xf numFmtId="164" fontId="54" fillId="0" borderId="0" xfId="480" applyFont="1" applyAlignment="1" applyProtection="1">
      <alignment horizontal="left" vertical="top" wrapText="1"/>
      <protection hidden="1"/>
    </xf>
    <xf numFmtId="0" fontId="96"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4" fillId="36" borderId="19" xfId="0" applyFont="1" applyFill="1" applyBorder="1" applyAlignment="1">
      <alignment vertical="top" wrapText="1"/>
    </xf>
    <xf numFmtId="0" fontId="54" fillId="36" borderId="19" xfId="502"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49" fontId="0" fillId="0" borderId="19" xfId="0" applyNumberFormat="1" applyBorder="1" applyProtection="1">
      <protection locked="0"/>
    </xf>
    <xf numFmtId="0" fontId="2" fillId="0" borderId="0" xfId="592" applyAlignment="1">
      <alignment vertical="top" wrapText="1"/>
    </xf>
    <xf numFmtId="0" fontId="54" fillId="0" borderId="0" xfId="502" applyFont="1" applyAlignment="1">
      <alignment horizontal="left" vertical="top" wrapText="1"/>
    </xf>
    <xf numFmtId="0" fontId="54" fillId="0" borderId="0" xfId="502" applyFont="1" applyAlignment="1">
      <alignment horizontal="justify" vertical="top"/>
    </xf>
    <xf numFmtId="0" fontId="54" fillId="0" borderId="0" xfId="506" applyFont="1" applyAlignment="1">
      <alignment horizontal="lef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2" fillId="0" borderId="0" xfId="507" applyFont="1" applyAlignment="1">
      <alignment horizontal="left" vertical="top" wrapText="1"/>
    </xf>
    <xf numFmtId="0" fontId="50" fillId="0" borderId="0" xfId="507" applyFont="1" applyAlignment="1">
      <alignment horizontal="left" vertical="top" wrapText="1"/>
    </xf>
    <xf numFmtId="0" fontId="89" fillId="0" borderId="0" xfId="0" applyFont="1" applyAlignment="1">
      <alignment vertical="top" wrapText="1"/>
    </xf>
    <xf numFmtId="0" fontId="51"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164" fontId="26" fillId="0" borderId="19" xfId="570" applyNumberFormat="1" applyFont="1" applyBorder="1" applyAlignment="1">
      <alignment horizontal="center" vertical="top" wrapText="1"/>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49" fontId="0" fillId="0" borderId="0" xfId="0" applyNumberFormat="1" applyProtection="1">
      <protection locked="0"/>
    </xf>
    <xf numFmtId="0" fontId="37"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Alignment="1">
      <alignment horizontal="center"/>
    </xf>
    <xf numFmtId="0" fontId="27" fillId="33" borderId="0" xfId="0" applyFont="1" applyFill="1" applyAlignment="1">
      <alignment horizontal="center" vertical="center" wrapText="1"/>
    </xf>
    <xf numFmtId="0" fontId="27" fillId="33" borderId="57" xfId="0" applyFont="1" applyFill="1" applyBorder="1" applyAlignment="1">
      <alignment horizontal="center" vertical="center" wrapText="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164" fontId="26" fillId="33" borderId="48" xfId="570" applyNumberFormat="1" applyFont="1" applyFill="1" applyBorder="1" applyAlignment="1">
      <alignment horizontal="center" vertical="top" wrapText="1"/>
    </xf>
    <xf numFmtId="164" fontId="26" fillId="33" borderId="49" xfId="570" applyNumberFormat="1" applyFont="1" applyFill="1" applyBorder="1" applyAlignment="1">
      <alignment horizontal="center" vertical="top" wrapText="1"/>
    </xf>
    <xf numFmtId="164" fontId="26" fillId="33" borderId="11" xfId="570" applyNumberFormat="1"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26" fillId="0" borderId="48" xfId="570" applyFont="1" applyBorder="1" applyAlignment="1">
      <alignment horizontal="center" vertical="top" wrapText="1"/>
    </xf>
    <xf numFmtId="0" fontId="26" fillId="0" borderId="49" xfId="570" applyFont="1" applyBorder="1" applyAlignment="1">
      <alignment horizontal="center" vertical="top" wrapText="1"/>
    </xf>
    <xf numFmtId="0" fontId="26" fillId="0" borderId="11" xfId="570" applyFont="1" applyBorder="1" applyAlignment="1">
      <alignment horizontal="center" vertical="top" wrapText="1"/>
    </xf>
    <xf numFmtId="164" fontId="26" fillId="0" borderId="48" xfId="570" applyNumberFormat="1" applyFont="1" applyBorder="1" applyAlignment="1">
      <alignment horizontal="center" vertical="top" wrapText="1"/>
    </xf>
    <xf numFmtId="164" fontId="26" fillId="0" borderId="49" xfId="570" applyNumberFormat="1" applyFont="1" applyBorder="1" applyAlignment="1">
      <alignment horizontal="center" vertical="top" wrapText="1"/>
    </xf>
    <xf numFmtId="164" fontId="26"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6" fillId="0" borderId="58" xfId="0" applyNumberFormat="1" applyFont="1" applyBorder="1" applyAlignment="1" applyProtection="1">
      <alignment horizontal="left" vertical="center" wrapText="1"/>
      <protection locked="0"/>
    </xf>
    <xf numFmtId="49" fontId="16" fillId="0" borderId="10" xfId="0" applyNumberFormat="1" applyFont="1" applyBorder="1" applyAlignment="1" applyProtection="1">
      <alignment horizontal="left" vertical="center" wrapText="1"/>
      <protection locked="0"/>
    </xf>
    <xf numFmtId="49" fontId="16" fillId="0" borderId="37" xfId="0" applyNumberFormat="1" applyFont="1" applyBorder="1" applyAlignment="1" applyProtection="1">
      <alignment horizontal="left" vertical="center" wrapText="1"/>
      <protection locked="0"/>
    </xf>
    <xf numFmtId="0" fontId="16" fillId="33" borderId="58"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165" fontId="15" fillId="33" borderId="34" xfId="0" applyNumberFormat="1" applyFont="1" applyFill="1" applyBorder="1" applyAlignment="1" applyProtection="1">
      <alignment horizontal="center" wrapText="1"/>
      <protection locked="0"/>
    </xf>
    <xf numFmtId="165" fontId="15" fillId="33" borderId="59"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15" fillId="33" borderId="27" xfId="0" applyFont="1" applyFill="1" applyBorder="1" applyAlignment="1" applyProtection="1">
      <alignment horizontal="left" wrapText="1"/>
      <protection hidden="1"/>
    </xf>
    <xf numFmtId="0" fontId="16" fillId="0" borderId="58" xfId="0" applyFont="1" applyBorder="1" applyAlignment="1" applyProtection="1">
      <alignment horizontal="left" vertical="center"/>
      <protection locked="0"/>
    </xf>
    <xf numFmtId="0" fontId="16" fillId="0" borderId="37" xfId="0" applyFont="1" applyBorder="1" applyAlignment="1" applyProtection="1">
      <alignment horizontal="left" vertical="center"/>
      <protection locked="0"/>
    </xf>
    <xf numFmtId="0" fontId="12" fillId="33" borderId="58"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left" wrapText="1"/>
      <protection hidden="1"/>
    </xf>
    <xf numFmtId="0" fontId="84" fillId="33" borderId="58" xfId="487" applyFont="1" applyFill="1" applyBorder="1" applyAlignment="1">
      <alignment horizontal="left" vertical="center" wrapText="1"/>
      <protection locked="0"/>
    </xf>
    <xf numFmtId="0" fontId="85" fillId="33" borderId="10" xfId="0" applyFont="1" applyFill="1" applyBorder="1" applyAlignment="1" applyProtection="1">
      <alignment horizontal="left" vertical="center" wrapText="1"/>
      <protection locked="0"/>
    </xf>
    <xf numFmtId="0" fontId="85"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4" fillId="33" borderId="58"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59" xfId="0" applyNumberFormat="1" applyFont="1" applyFill="1" applyBorder="1" applyAlignment="1" applyProtection="1">
      <alignment horizontal="left" vertical="center" wrapText="1"/>
      <protection locked="0"/>
    </xf>
    <xf numFmtId="49" fontId="16" fillId="33" borderId="58"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5" fillId="33" borderId="0" xfId="0" applyFont="1" applyFill="1" applyAlignment="1" applyProtection="1">
      <alignment horizontal="center" vertical="center" wrapText="1"/>
      <protection hidden="1"/>
    </xf>
    <xf numFmtId="0" fontId="16" fillId="33" borderId="60"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7" fillId="33" borderId="58" xfId="487" applyNumberFormat="1" applyFont="1" applyFill="1" applyBorder="1" applyAlignment="1">
      <alignment horizontal="left" vertical="center" wrapText="1"/>
      <protection locked="0"/>
    </xf>
    <xf numFmtId="49" fontId="87" fillId="33" borderId="10" xfId="487" applyNumberFormat="1" applyFont="1" applyFill="1" applyBorder="1" applyAlignment="1">
      <alignment horizontal="left" vertical="center" wrapText="1"/>
      <protection locked="0"/>
    </xf>
    <xf numFmtId="49" fontId="87" fillId="33" borderId="37" xfId="487" applyNumberFormat="1" applyFont="1" applyFill="1" applyBorder="1" applyAlignment="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86" fillId="33" borderId="58" xfId="487" applyNumberFormat="1" applyFont="1" applyFill="1" applyBorder="1" applyAlignment="1">
      <alignment horizontal="left" vertical="center" wrapText="1"/>
      <protection locked="0"/>
    </xf>
    <xf numFmtId="49" fontId="87" fillId="33" borderId="10" xfId="0" applyNumberFormat="1" applyFont="1" applyFill="1" applyBorder="1" applyAlignment="1" applyProtection="1">
      <alignment horizontal="left" vertical="center" wrapText="1"/>
      <protection locked="0"/>
    </xf>
    <xf numFmtId="49" fontId="87" fillId="33" borderId="37" xfId="0" applyNumberFormat="1" applyFont="1" applyFill="1" applyBorder="1" applyAlignment="1" applyProtection="1">
      <alignment horizontal="left" vertical="center" wrapText="1"/>
      <protection locked="0"/>
    </xf>
    <xf numFmtId="9" fontId="16" fillId="33" borderId="58"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86" fillId="0" borderId="34" xfId="487" applyFont="1" applyFill="1" applyBorder="1" applyAlignment="1" applyProtection="1">
      <alignment horizontal="left" vertical="center" wrapText="1"/>
    </xf>
    <xf numFmtId="0" fontId="86" fillId="0" borderId="27" xfId="487" applyFont="1" applyFill="1" applyBorder="1" applyAlignment="1" applyProtection="1">
      <alignment horizontal="left" vertical="center" wrapText="1"/>
    </xf>
    <xf numFmtId="0" fontId="86" fillId="0" borderId="59" xfId="487" applyFont="1" applyFill="1" applyBorder="1" applyAlignment="1" applyProtection="1">
      <alignment horizontal="left" vertical="center" wrapText="1"/>
    </xf>
    <xf numFmtId="0" fontId="24" fillId="0" borderId="27" xfId="487" applyFont="1" applyFill="1" applyBorder="1" applyAlignment="1" applyProtection="1">
      <alignment horizontal="center"/>
      <protection hidden="1"/>
    </xf>
    <xf numFmtId="0" fontId="22" fillId="0" borderId="27" xfId="487" applyFont="1" applyFill="1" applyBorder="1" applyAlignment="1" applyProtection="1">
      <alignment horizontal="center" wrapText="1"/>
      <protection hidden="1"/>
    </xf>
    <xf numFmtId="0" fontId="18" fillId="33" borderId="0" xfId="0" applyFont="1" applyFill="1" applyAlignment="1">
      <alignment horizontal="center" wrapText="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58"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6" fillId="33" borderId="10" xfId="0" applyFont="1" applyFill="1" applyBorder="1" applyAlignment="1">
      <alignment horizontal="center" vertical="center"/>
    </xf>
    <xf numFmtId="0" fontId="12" fillId="33" borderId="10" xfId="0" applyFont="1" applyFill="1" applyBorder="1" applyAlignment="1">
      <alignment horizontal="left" vertical="center" wrapText="1"/>
    </xf>
    <xf numFmtId="0" fontId="16" fillId="0" borderId="58" xfId="0" applyFont="1" applyBorder="1" applyAlignment="1" applyProtection="1">
      <alignment horizontal="left" wrapText="1"/>
      <protection locked="0"/>
    </xf>
    <xf numFmtId="0" fontId="16" fillId="0" borderId="10" xfId="0" applyFont="1" applyBorder="1" applyAlignment="1" applyProtection="1">
      <alignment horizontal="left" wrapText="1"/>
      <protection locked="0"/>
    </xf>
    <xf numFmtId="0" fontId="16" fillId="0" borderId="37" xfId="0" applyFont="1" applyBorder="1" applyAlignment="1" applyProtection="1">
      <alignment horizontal="left" wrapText="1"/>
      <protection locked="0"/>
    </xf>
    <xf numFmtId="0" fontId="10" fillId="33" borderId="27" xfId="0" applyFont="1" applyFill="1" applyBorder="1" applyAlignment="1" applyProtection="1">
      <alignment horizontal="center" wrapText="1"/>
      <protection hidden="1"/>
    </xf>
    <xf numFmtId="0" fontId="49" fillId="33" borderId="38" xfId="487" applyFont="1" applyFill="1" applyBorder="1" applyAlignment="1" applyProtection="1">
      <alignment horizontal="center" vertical="center" wrapText="1"/>
      <protection hidden="1"/>
    </xf>
    <xf numFmtId="0" fontId="49" fillId="33" borderId="0" xfId="487" applyFont="1" applyFill="1" applyBorder="1" applyAlignment="1" applyProtection="1">
      <alignment horizontal="center" vertical="center" wrapText="1"/>
      <protection hidden="1"/>
    </xf>
    <xf numFmtId="0" fontId="99" fillId="0" borderId="57"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0" fontId="16" fillId="33" borderId="22" xfId="0"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cellXfs>
  <cellStyles count="595">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Hyperlink 7 2" xfId="593" xr:uid="{DDC280BA-72C1-471C-8118-E2A9EADB3F55}"/>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 9 2" xfId="594" xr:uid="{9D5C9EB1-DC56-4DAA-AD60-1DDAB28A2791}"/>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1816561</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jessica.martin@bourn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bourns.com/docs/RoHS-Content/conflict_metals_statement.pdf?sfvrsn=f2ab84f1_11" TargetMode="External"/><Relationship Id="rId4" Type="http://schemas.openxmlformats.org/officeDocument/2006/relationships/hyperlink" Target="mailto:marvella.sanchez@bourn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293"/>
      <c r="B2" s="5" t="s">
        <v>843</v>
      </c>
      <c r="C2" s="3"/>
      <c r="D2" s="175"/>
      <c r="E2" s="3"/>
      <c r="F2" s="3"/>
      <c r="G2" s="25"/>
    </row>
    <row r="3" spans="1:7">
      <c r="A3" s="293"/>
      <c r="B3" s="3" t="s">
        <v>835</v>
      </c>
      <c r="C3" s="5"/>
      <c r="D3" s="176"/>
      <c r="E3" s="3"/>
      <c r="F3" s="5"/>
      <c r="G3" s="25"/>
    </row>
    <row r="4" spans="1:7" ht="15">
      <c r="A4" s="293"/>
      <c r="B4" s="30" t="s">
        <v>845</v>
      </c>
      <c r="C4" s="6"/>
      <c r="D4" s="177"/>
      <c r="E4" s="3"/>
      <c r="F4" s="6"/>
      <c r="G4" s="25"/>
    </row>
    <row r="5" spans="1:7">
      <c r="A5" s="293"/>
      <c r="B5" s="29" t="s">
        <v>1036</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846</v>
      </c>
      <c r="C9" s="296"/>
      <c r="D9" s="296"/>
      <c r="E9" s="296"/>
      <c r="F9" s="296"/>
      <c r="G9" s="25"/>
    </row>
    <row r="10" spans="1:7" ht="27" customHeight="1">
      <c r="A10" s="293"/>
      <c r="B10" s="297" t="s">
        <v>438</v>
      </c>
      <c r="C10" s="297"/>
      <c r="D10" s="297"/>
      <c r="E10" s="297"/>
      <c r="F10" s="297"/>
      <c r="G10" s="25"/>
    </row>
    <row r="11" spans="1:7" ht="27" customHeight="1">
      <c r="A11" s="293"/>
      <c r="B11" s="298"/>
      <c r="C11" s="298"/>
      <c r="D11" s="298"/>
      <c r="E11" s="298"/>
      <c r="F11" s="298"/>
      <c r="G11" s="25"/>
    </row>
    <row r="12" spans="1:7">
      <c r="A12" s="293"/>
      <c r="B12" s="31" t="s">
        <v>844</v>
      </c>
      <c r="C12" s="32" t="s">
        <v>847</v>
      </c>
      <c r="D12" s="179" t="s">
        <v>848</v>
      </c>
      <c r="E12" s="32" t="s">
        <v>612</v>
      </c>
      <c r="F12" s="32" t="s">
        <v>613</v>
      </c>
      <c r="G12" s="25"/>
    </row>
    <row r="13" spans="1:7" ht="20">
      <c r="A13" s="293"/>
      <c r="B13" s="2">
        <v>1</v>
      </c>
      <c r="C13" s="27" t="s">
        <v>1084</v>
      </c>
      <c r="D13" s="28" t="s">
        <v>872</v>
      </c>
      <c r="E13" s="163" t="s">
        <v>849</v>
      </c>
      <c r="F13" s="163"/>
      <c r="G13" s="25"/>
    </row>
    <row r="14" spans="1:7" ht="30">
      <c r="A14" s="293"/>
      <c r="B14" s="2">
        <v>2</v>
      </c>
      <c r="C14" s="27" t="s">
        <v>1084</v>
      </c>
      <c r="D14" s="28" t="s">
        <v>1021</v>
      </c>
      <c r="E14" s="163" t="s">
        <v>530</v>
      </c>
      <c r="F14" s="163" t="s">
        <v>531</v>
      </c>
      <c r="G14" s="25"/>
    </row>
    <row r="15" spans="1:7" ht="89.15" customHeight="1">
      <c r="A15" s="293"/>
      <c r="B15" s="299">
        <v>2.0099999999999998</v>
      </c>
      <c r="C15" s="302" t="s">
        <v>1084</v>
      </c>
      <c r="D15" s="305" t="s">
        <v>2246</v>
      </c>
      <c r="E15" s="164" t="s">
        <v>614</v>
      </c>
      <c r="F15" s="164" t="s">
        <v>617</v>
      </c>
      <c r="G15" s="25"/>
    </row>
    <row r="16" spans="1:7" ht="99" customHeight="1">
      <c r="A16" s="293"/>
      <c r="B16" s="300"/>
      <c r="C16" s="303"/>
      <c r="D16" s="306"/>
      <c r="E16" s="165"/>
      <c r="F16" s="165" t="s">
        <v>615</v>
      </c>
      <c r="G16" s="25"/>
    </row>
    <row r="17" spans="1:7" ht="63" customHeight="1">
      <c r="A17" s="293"/>
      <c r="B17" s="301"/>
      <c r="C17" s="304"/>
      <c r="D17" s="307"/>
      <c r="E17" s="27"/>
      <c r="F17" s="27" t="s">
        <v>616</v>
      </c>
      <c r="G17" s="25"/>
    </row>
    <row r="18" spans="1:7" ht="117" customHeight="1">
      <c r="A18" s="293"/>
      <c r="B18" s="299">
        <v>2.02</v>
      </c>
      <c r="C18" s="302" t="s">
        <v>1084</v>
      </c>
      <c r="D18" s="305" t="s">
        <v>2247</v>
      </c>
      <c r="E18" s="164" t="s">
        <v>439</v>
      </c>
      <c r="F18" s="164" t="s">
        <v>525</v>
      </c>
      <c r="G18" s="25"/>
    </row>
    <row r="19" spans="1:7" ht="71.150000000000006" customHeight="1">
      <c r="A19" s="293"/>
      <c r="B19" s="300"/>
      <c r="C19" s="303"/>
      <c r="D19" s="306"/>
      <c r="E19" s="165" t="s">
        <v>529</v>
      </c>
      <c r="F19" s="165" t="s">
        <v>440</v>
      </c>
      <c r="G19" s="25"/>
    </row>
    <row r="20" spans="1:7" ht="90.75" customHeight="1">
      <c r="A20" s="293"/>
      <c r="B20" s="300"/>
      <c r="C20" s="303"/>
      <c r="D20" s="306"/>
      <c r="E20" s="165"/>
      <c r="F20" s="165" t="s">
        <v>619</v>
      </c>
      <c r="G20" s="25"/>
    </row>
    <row r="21" spans="1:7" ht="74.25" customHeight="1">
      <c r="A21" s="293"/>
      <c r="B21" s="301"/>
      <c r="C21" s="304"/>
      <c r="D21" s="307"/>
      <c r="E21" s="27"/>
      <c r="F21" s="27" t="s">
        <v>618</v>
      </c>
      <c r="G21" s="25"/>
    </row>
    <row r="22" spans="1:7" ht="90" customHeight="1">
      <c r="A22" s="293"/>
      <c r="B22" s="311">
        <v>2.0299999999999998</v>
      </c>
      <c r="C22" s="311" t="s">
        <v>818</v>
      </c>
      <c r="D22" s="314" t="s">
        <v>2248</v>
      </c>
      <c r="E22" s="302" t="s">
        <v>437</v>
      </c>
      <c r="F22" s="164" t="s">
        <v>460</v>
      </c>
      <c r="G22" s="25"/>
    </row>
    <row r="23" spans="1:7" ht="109.5" customHeight="1">
      <c r="A23" s="293"/>
      <c r="B23" s="312"/>
      <c r="C23" s="312"/>
      <c r="D23" s="315"/>
      <c r="E23" s="303"/>
      <c r="F23" s="165" t="s">
        <v>819</v>
      </c>
      <c r="G23" s="25"/>
    </row>
    <row r="24" spans="1:7" ht="74.25" customHeight="1">
      <c r="A24" s="293"/>
      <c r="B24" s="313"/>
      <c r="C24" s="313"/>
      <c r="D24" s="316"/>
      <c r="E24" s="304"/>
      <c r="F24" s="27" t="s">
        <v>436</v>
      </c>
      <c r="G24" s="25"/>
    </row>
    <row r="25" spans="1:7" ht="72" customHeight="1">
      <c r="A25" s="293"/>
      <c r="B25" s="2" t="s">
        <v>458</v>
      </c>
      <c r="C25" s="27" t="s">
        <v>459</v>
      </c>
      <c r="D25" s="28" t="s">
        <v>2249</v>
      </c>
      <c r="E25" s="27" t="s">
        <v>2244</v>
      </c>
      <c r="F25" s="27" t="s">
        <v>461</v>
      </c>
      <c r="G25" s="25"/>
    </row>
    <row r="26" spans="1:7" ht="98.15" customHeight="1">
      <c r="A26" s="293"/>
      <c r="B26" s="308">
        <v>3</v>
      </c>
      <c r="C26" s="299" t="s">
        <v>70</v>
      </c>
      <c r="D26" s="305" t="s">
        <v>2250</v>
      </c>
      <c r="E26" s="302" t="s">
        <v>0</v>
      </c>
      <c r="F26" s="164" t="s">
        <v>64</v>
      </c>
      <c r="G26" s="25"/>
    </row>
    <row r="27" spans="1:7" ht="90" customHeight="1">
      <c r="A27" s="293"/>
      <c r="B27" s="309"/>
      <c r="C27" s="300"/>
      <c r="D27" s="306"/>
      <c r="E27" s="303"/>
      <c r="F27" s="165" t="s">
        <v>59</v>
      </c>
      <c r="G27" s="25"/>
    </row>
    <row r="28" spans="1:7" ht="19.399999999999999" customHeight="1">
      <c r="A28" s="293"/>
      <c r="B28" s="309"/>
      <c r="C28" s="300"/>
      <c r="D28" s="306"/>
      <c r="E28" s="303"/>
      <c r="F28" s="165" t="s">
        <v>60</v>
      </c>
      <c r="G28" s="25"/>
    </row>
    <row r="29" spans="1:7" ht="74.5" customHeight="1">
      <c r="A29" s="293"/>
      <c r="B29" s="309"/>
      <c r="C29" s="300"/>
      <c r="D29" s="306"/>
      <c r="E29" s="303"/>
      <c r="F29" s="165" t="s">
        <v>61</v>
      </c>
      <c r="G29" s="25"/>
    </row>
    <row r="30" spans="1:7" ht="62.5" customHeight="1">
      <c r="A30" s="293"/>
      <c r="B30" s="309"/>
      <c r="C30" s="300"/>
      <c r="D30" s="306"/>
      <c r="E30" s="303"/>
      <c r="F30" s="165" t="s">
        <v>62</v>
      </c>
      <c r="G30" s="25"/>
    </row>
    <row r="31" spans="1:7" ht="81" customHeight="1">
      <c r="A31" s="293"/>
      <c r="B31" s="309"/>
      <c r="C31" s="300"/>
      <c r="D31" s="306"/>
      <c r="E31" s="303"/>
      <c r="F31" s="165" t="s">
        <v>63</v>
      </c>
      <c r="G31" s="25"/>
    </row>
    <row r="32" spans="1:7" ht="48.75" customHeight="1">
      <c r="A32" s="293"/>
      <c r="B32" s="309"/>
      <c r="C32" s="300"/>
      <c r="D32" s="306"/>
      <c r="E32" s="303"/>
      <c r="F32" s="165" t="s">
        <v>66</v>
      </c>
      <c r="G32" s="25"/>
    </row>
    <row r="33" spans="1:7" ht="98.5" customHeight="1">
      <c r="A33" s="293"/>
      <c r="B33" s="309"/>
      <c r="C33" s="300"/>
      <c r="D33" s="306"/>
      <c r="E33" s="303"/>
      <c r="F33" s="165" t="s">
        <v>65</v>
      </c>
      <c r="G33" s="25"/>
    </row>
    <row r="34" spans="1:7" ht="89.15" customHeight="1">
      <c r="A34" s="293"/>
      <c r="B34" s="309"/>
      <c r="C34" s="300"/>
      <c r="D34" s="306"/>
      <c r="E34" s="303"/>
      <c r="F34" s="165" t="s">
        <v>67</v>
      </c>
      <c r="G34" s="25"/>
    </row>
    <row r="35" spans="1:7" ht="29.15" customHeight="1">
      <c r="A35" s="293"/>
      <c r="B35" s="309"/>
      <c r="C35" s="300"/>
      <c r="D35" s="306"/>
      <c r="E35" s="303"/>
      <c r="F35" s="165" t="s">
        <v>68</v>
      </c>
      <c r="G35" s="25"/>
    </row>
    <row r="36" spans="1:7" ht="121">
      <c r="A36" s="293"/>
      <c r="B36" s="310"/>
      <c r="C36" s="301"/>
      <c r="D36" s="307"/>
      <c r="E36" s="304"/>
      <c r="F36" s="166" t="s">
        <v>69</v>
      </c>
      <c r="G36" s="25"/>
    </row>
    <row r="37" spans="1:7" ht="100">
      <c r="A37" s="293"/>
      <c r="B37" s="141">
        <v>3.01</v>
      </c>
      <c r="C37" s="142" t="s">
        <v>70</v>
      </c>
      <c r="D37" s="28" t="s">
        <v>2251</v>
      </c>
      <c r="E37" s="167" t="s">
        <v>1323</v>
      </c>
      <c r="F37" s="168" t="s">
        <v>1427</v>
      </c>
      <c r="G37" s="25"/>
    </row>
    <row r="38" spans="1:7" ht="90">
      <c r="A38" s="293"/>
      <c r="B38" s="141">
        <v>3.02</v>
      </c>
      <c r="C38" s="142" t="s">
        <v>1356</v>
      </c>
      <c r="D38" s="28" t="s">
        <v>2252</v>
      </c>
      <c r="E38" s="167" t="s">
        <v>1371</v>
      </c>
      <c r="F38" s="168" t="s">
        <v>1428</v>
      </c>
      <c r="G38" s="25"/>
    </row>
    <row r="39" spans="1:7" ht="80">
      <c r="A39" s="293"/>
      <c r="B39" s="150">
        <v>4</v>
      </c>
      <c r="C39" s="149" t="s">
        <v>1524</v>
      </c>
      <c r="D39" s="28" t="s">
        <v>2253</v>
      </c>
      <c r="E39" s="27" t="s">
        <v>2198</v>
      </c>
      <c r="F39" s="27" t="s">
        <v>1525</v>
      </c>
      <c r="G39" s="25"/>
    </row>
    <row r="40" spans="1:7" ht="50">
      <c r="A40" s="293"/>
      <c r="B40" s="141">
        <v>4.01</v>
      </c>
      <c r="C40" s="149" t="s">
        <v>1524</v>
      </c>
      <c r="D40" s="28" t="s">
        <v>2255</v>
      </c>
      <c r="E40" s="27" t="s">
        <v>2210</v>
      </c>
      <c r="F40" s="27" t="s">
        <v>2214</v>
      </c>
      <c r="G40" s="25"/>
    </row>
    <row r="41" spans="1:7" ht="50">
      <c r="A41" s="293"/>
      <c r="B41" s="141" t="s">
        <v>2242</v>
      </c>
      <c r="C41" s="149" t="s">
        <v>1524</v>
      </c>
      <c r="D41" s="28" t="s">
        <v>2254</v>
      </c>
      <c r="E41" s="27" t="s">
        <v>2245</v>
      </c>
      <c r="F41" s="27" t="s">
        <v>2243</v>
      </c>
      <c r="G41" s="25"/>
    </row>
    <row r="42" spans="1:7" ht="50">
      <c r="A42" s="293"/>
      <c r="B42" s="141" t="s">
        <v>2276</v>
      </c>
      <c r="C42" s="149" t="s">
        <v>1524</v>
      </c>
      <c r="D42" s="28" t="s">
        <v>2281</v>
      </c>
      <c r="E42" s="27" t="s">
        <v>2244</v>
      </c>
      <c r="F42" s="27" t="s">
        <v>2277</v>
      </c>
      <c r="G42" s="25"/>
    </row>
    <row r="43" spans="1:7" ht="110">
      <c r="A43" s="293"/>
      <c r="B43" s="160">
        <v>4.0999999999999996</v>
      </c>
      <c r="C43" s="149" t="s">
        <v>2280</v>
      </c>
      <c r="D43" s="161">
        <v>42867</v>
      </c>
      <c r="E43" s="169" t="s">
        <v>2283</v>
      </c>
      <c r="F43" s="27" t="s">
        <v>2282</v>
      </c>
      <c r="G43" s="25"/>
    </row>
    <row r="44" spans="1:7" ht="70">
      <c r="A44" s="293"/>
      <c r="B44" s="160">
        <v>4.2</v>
      </c>
      <c r="C44" s="149" t="s">
        <v>2280</v>
      </c>
      <c r="D44" s="161">
        <v>42704</v>
      </c>
      <c r="E44" s="169" t="s">
        <v>2479</v>
      </c>
      <c r="F44" s="27" t="s">
        <v>2454</v>
      </c>
      <c r="G44" s="25"/>
    </row>
    <row r="45" spans="1:7" ht="130">
      <c r="A45" s="293"/>
      <c r="B45" s="202">
        <v>5</v>
      </c>
      <c r="C45" s="149" t="s">
        <v>2280</v>
      </c>
      <c r="D45" s="161">
        <v>42867</v>
      </c>
      <c r="E45" s="169" t="s">
        <v>12705</v>
      </c>
      <c r="F45" s="27" t="s">
        <v>12427</v>
      </c>
      <c r="G45" s="25"/>
    </row>
    <row r="46" spans="1:7" ht="30">
      <c r="A46" s="293"/>
      <c r="B46" s="160">
        <v>5.01</v>
      </c>
      <c r="C46" s="149" t="s">
        <v>2280</v>
      </c>
      <c r="D46" s="161">
        <v>42907</v>
      </c>
      <c r="E46" s="169" t="s">
        <v>15521</v>
      </c>
      <c r="F46" s="27" t="s">
        <v>12427</v>
      </c>
      <c r="G46" s="25"/>
    </row>
    <row r="47" spans="1:7" ht="60">
      <c r="A47" s="293"/>
      <c r="B47" s="160">
        <v>5.0999999999999996</v>
      </c>
      <c r="C47" s="149" t="s">
        <v>2280</v>
      </c>
      <c r="D47" s="161">
        <v>43070</v>
      </c>
      <c r="E47" s="169" t="s">
        <v>12915</v>
      </c>
      <c r="F47" s="27" t="s">
        <v>12916</v>
      </c>
      <c r="G47" s="25"/>
    </row>
    <row r="48" spans="1:7" ht="50">
      <c r="A48" s="293"/>
      <c r="B48" s="160">
        <v>5.1100000000000003</v>
      </c>
      <c r="C48" s="149" t="s">
        <v>13152</v>
      </c>
      <c r="D48" s="161">
        <v>43217</v>
      </c>
      <c r="E48" s="169" t="s">
        <v>13278</v>
      </c>
      <c r="F48" s="27" t="s">
        <v>13186</v>
      </c>
      <c r="G48" s="25"/>
    </row>
    <row r="49" spans="1:7" ht="50">
      <c r="A49" s="293"/>
      <c r="B49" s="160">
        <v>5.12</v>
      </c>
      <c r="C49" s="149" t="s">
        <v>13152</v>
      </c>
      <c r="D49" s="161">
        <v>43581</v>
      </c>
      <c r="E49" s="169" t="s">
        <v>13278</v>
      </c>
      <c r="F49" s="27" t="s">
        <v>13832</v>
      </c>
      <c r="G49" s="25"/>
    </row>
    <row r="50" spans="1:7" ht="70">
      <c r="A50" s="293"/>
      <c r="B50" s="202">
        <v>6</v>
      </c>
      <c r="C50" s="149" t="s">
        <v>13152</v>
      </c>
      <c r="D50" s="161">
        <v>43964</v>
      </c>
      <c r="E50" s="169" t="s">
        <v>14048</v>
      </c>
      <c r="F50" s="27" t="s">
        <v>13835</v>
      </c>
      <c r="G50" s="25"/>
    </row>
    <row r="51" spans="1:7" ht="40">
      <c r="A51" s="293"/>
      <c r="B51" s="160">
        <v>6.01</v>
      </c>
      <c r="C51" s="149" t="s">
        <v>13152</v>
      </c>
      <c r="D51" s="161">
        <v>43970</v>
      </c>
      <c r="E51" s="169" t="s">
        <v>15522</v>
      </c>
      <c r="F51" s="169" t="s">
        <v>13835</v>
      </c>
      <c r="G51" s="25"/>
    </row>
    <row r="52" spans="1:7" ht="40">
      <c r="A52" s="293"/>
      <c r="B52" s="160">
        <v>6.1</v>
      </c>
      <c r="C52" s="149" t="s">
        <v>13152</v>
      </c>
      <c r="D52" s="161">
        <v>44314</v>
      </c>
      <c r="E52" s="169" t="s">
        <v>15514</v>
      </c>
      <c r="F52" s="169" t="s">
        <v>15043</v>
      </c>
      <c r="G52" s="25"/>
    </row>
    <row r="53" spans="1:7" ht="40">
      <c r="A53" s="293"/>
      <c r="B53" s="160">
        <v>6.2</v>
      </c>
      <c r="C53" s="149" t="s">
        <v>13152</v>
      </c>
      <c r="D53" s="161">
        <v>44678</v>
      </c>
      <c r="E53" s="169" t="s">
        <v>15514</v>
      </c>
      <c r="F53" s="169" t="s">
        <v>15513</v>
      </c>
      <c r="G53" s="25"/>
    </row>
    <row r="54" spans="1:7" ht="40">
      <c r="A54" s="293"/>
      <c r="B54" s="160">
        <v>6.21</v>
      </c>
      <c r="C54" s="149" t="s">
        <v>13152</v>
      </c>
      <c r="D54" s="161">
        <v>44687</v>
      </c>
      <c r="E54" s="169" t="s">
        <v>15523</v>
      </c>
      <c r="F54" s="169" t="s">
        <v>15513</v>
      </c>
      <c r="G54" s="25"/>
    </row>
    <row r="55" spans="1:7" ht="40">
      <c r="A55" s="293"/>
      <c r="B55" s="160">
        <v>6.22</v>
      </c>
      <c r="C55" s="149" t="s">
        <v>13152</v>
      </c>
      <c r="D55" s="275">
        <v>44692</v>
      </c>
      <c r="E55" s="169" t="s">
        <v>15522</v>
      </c>
      <c r="F55" s="169" t="s">
        <v>15513</v>
      </c>
      <c r="G55" s="25"/>
    </row>
    <row r="56" spans="1:7" ht="50">
      <c r="A56" s="293"/>
      <c r="B56" s="202">
        <v>6.3</v>
      </c>
      <c r="C56" s="149" t="s">
        <v>13152</v>
      </c>
      <c r="D56" s="275">
        <v>45051</v>
      </c>
      <c r="E56" s="169" t="s">
        <v>15790</v>
      </c>
      <c r="F56" s="169" t="s">
        <v>15571</v>
      </c>
      <c r="G56" s="25"/>
    </row>
    <row r="57" spans="1:7" ht="40">
      <c r="A57" s="293"/>
      <c r="B57" s="160">
        <v>6.31</v>
      </c>
      <c r="C57" s="149" t="s">
        <v>13152</v>
      </c>
      <c r="D57" s="275">
        <v>45072</v>
      </c>
      <c r="E57" s="169" t="s">
        <v>15792</v>
      </c>
      <c r="F57" s="169" t="s">
        <v>15571</v>
      </c>
      <c r="G57" s="25"/>
    </row>
    <row r="58" spans="1:7" ht="14" thickBot="1">
      <c r="A58" s="294"/>
      <c r="B58" s="295" t="str">
        <f ca="1">OFFSET(L!$C$1,MATCH("General"&amp;"Cpy",L!$A:$A,0)-1,SL,,)</f>
        <v>© 2023 Responsible Minerals Initiative. All rights reserved.</v>
      </c>
      <c r="C58" s="295"/>
      <c r="D58" s="295"/>
      <c r="E58" s="295"/>
      <c r="F58" s="295"/>
      <c r="G58" s="26"/>
    </row>
    <row r="59" spans="1:7" ht="14"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869C554-DC05-4517-993F-94E55A1522D3}"/>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69140625" customWidth="1"/>
    <col min="3" max="3" width="11.92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3984F2BA-BDB2-4524-BFB9-BD440EFE36F9}"/>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65">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4" thickBot="1">
      <c r="A33" s="75"/>
      <c r="B33" s="153"/>
      <c r="C33" s="153"/>
      <c r="D33" s="322"/>
    </row>
    <row r="34" spans="1:4" ht="14"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A91" sqref="A91:J91"/>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3" width="9.15234375" hidden="1" customWidth="1"/>
    <col min="24" max="24" width="9.15234375" customWidth="1"/>
  </cols>
  <sheetData>
    <row r="1" spans="1:34" ht="15.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4"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7"/>
      <c r="G3" s="357"/>
      <c r="H3" s="357"/>
      <c r="I3" s="152"/>
      <c r="J3" s="138" t="s">
        <v>15794</v>
      </c>
      <c r="K3" s="36"/>
      <c r="L3" s="100"/>
      <c r="P3" s="45">
        <f>MATCH($D$3,LN,0)</f>
        <v>1</v>
      </c>
    </row>
    <row r="4" spans="1:34" ht="1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443</v>
      </c>
      <c r="P6" s="3"/>
      <c r="Q6" s="3"/>
      <c r="R6" s="3"/>
      <c r="S6" s="3"/>
      <c r="T6" s="3"/>
      <c r="U6" s="3"/>
      <c r="V6" s="3"/>
      <c r="W6" s="3"/>
      <c r="X6" s="3"/>
      <c r="Y6" s="3"/>
      <c r="Z6" s="3"/>
      <c r="AA6" s="3"/>
      <c r="AB6" s="3"/>
      <c r="AC6" s="3"/>
      <c r="AD6" s="3"/>
      <c r="AE6" s="3"/>
      <c r="AF6" s="3"/>
      <c r="AG6" s="3"/>
      <c r="AH6" s="3"/>
    </row>
    <row r="7" spans="1:34" ht="37"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47" t="s">
        <v>15795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59" t="s">
        <v>495</v>
      </c>
      <c r="E9" s="360"/>
      <c r="F9" s="360"/>
      <c r="G9" s="361"/>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5" customHeight="1">
      <c r="A10" s="38"/>
      <c r="B10" s="363" t="str">
        <f ca="1">OFFSET(L!$C$1,MATCH("Declaration"&amp;ADDRESS(ROW(),COLUMN(),4)&amp;LEFT($D$9,1),L!$A:$A,0)-1,SL,,)</f>
        <v>Go to Product List tab to enter products this declaration applies to</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
      <c r="A11" s="38"/>
      <c r="B11" s="364"/>
      <c r="C11" s="122"/>
      <c r="D11" s="370" t="str">
        <f ca="1">IF(D9=Q9,OFFSET(L!$C$1,MATCH("Declaration"&amp;ADDRESS(ROW(),COLUMN(),4),L!$A:$A,0)-1,SL,,),"")</f>
        <v>Click here to enter the products this declaration applies to</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t="s">
        <v>2351</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t="s">
        <v>15796</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t="s">
        <v>15797</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15798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65" t="s">
        <v>15799</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15800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83" t="s">
        <v>15801</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15802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65" t="s">
        <v>15803</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23" t="s">
        <v>15804</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28">
        <v>45093</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 xml:space="preserve">Tantalum  </v>
      </c>
      <c r="C26" s="35"/>
      <c r="D26" s="326" t="s">
        <v>489</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488</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 xml:space="preserve">Gold  </v>
      </c>
      <c r="C28" s="35"/>
      <c r="D28" s="326" t="s">
        <v>489</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 xml:space="preserve">Tungsten  </v>
      </c>
      <c r="C29" s="35"/>
      <c r="D29" s="326" t="s">
        <v>489</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1238</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488</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1238</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t="s">
        <v>488</v>
      </c>
      <c r="E39" s="327"/>
      <c r="F39" s="47"/>
      <c r="G39" s="334" t="s">
        <v>15805</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t="s">
        <v>488</v>
      </c>
      <c r="E45" s="327"/>
      <c r="F45" s="47"/>
      <c r="G45" s="334" t="s">
        <v>15805</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3">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489</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3">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68" t="s">
        <v>15806</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1236</v>
      </c>
      <c r="M61" s="112"/>
      <c r="P61" s="3"/>
      <c r="Q61" s="3"/>
      <c r="R61" s="3"/>
      <c r="S61" s="3"/>
      <c r="T61" s="3"/>
      <c r="U61" s="3"/>
      <c r="V61" s="3"/>
      <c r="W61" s="3"/>
      <c r="X61" s="3"/>
      <c r="Y61" s="3"/>
      <c r="Z61" s="3"/>
      <c r="AA61" s="3"/>
      <c r="AB61" s="3"/>
      <c r="AC61" s="3"/>
      <c r="AD61" s="3"/>
      <c r="AE61" s="3"/>
      <c r="AF61" s="3"/>
      <c r="AG61" s="3"/>
      <c r="AH61" s="3"/>
    </row>
    <row r="62" spans="1:34" ht="23">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488</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1236</v>
      </c>
      <c r="M67" s="112"/>
      <c r="P67" s="3"/>
      <c r="Q67" s="3"/>
      <c r="R67" s="3"/>
      <c r="S67" s="3"/>
      <c r="T67" s="3"/>
      <c r="U67" s="3"/>
      <c r="V67" s="3"/>
      <c r="W67" s="3"/>
      <c r="X67" s="3"/>
      <c r="Y67" s="3"/>
      <c r="Z67" s="3"/>
      <c r="AA67" s="3"/>
      <c r="AB67" s="3"/>
      <c r="AC67" s="3"/>
      <c r="AD67" s="3"/>
      <c r="AE67" s="3"/>
      <c r="AF67" s="3"/>
      <c r="AG67" s="3"/>
      <c r="AH67" s="3"/>
    </row>
    <row r="68" spans="1:34" ht="23">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488</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34"/>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38" t="s">
        <v>15807</v>
      </c>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34"/>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34"/>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34"/>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488</v>
      </c>
      <c r="E85" s="380"/>
      <c r="F85" s="57"/>
      <c r="G85" s="334"/>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488</v>
      </c>
      <c r="E87" s="327"/>
      <c r="F87" s="57"/>
      <c r="G87" s="334"/>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34"/>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5"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 hidden="1">
      <c r="B98" s="56" t="s">
        <v>490</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2480</v>
      </c>
      <c r="D100" s="282" t="str">
        <f>IF(AND(OR($D$27="Yes",$D$27=""),OR($D$33="Yes",$D$33="")),"No","")</f>
        <v>No</v>
      </c>
      <c r="E100" s="282" t="str">
        <f>IF(AND(OR($D$26="Yes",$D$26=""),OR($D$32="Yes",$D$32="")),"50% or less","")</f>
        <v/>
      </c>
      <c r="G100" s="282" t="str">
        <f>IF(OR($D$28="Yes",$D$28=""),"Yes","")</f>
        <v/>
      </c>
    </row>
    <row r="101" spans="2:7" ht="15" hidden="1">
      <c r="B101" s="236" t="s">
        <v>2481</v>
      </c>
      <c r="D101" s="282" t="str">
        <f>IF(AND(OR($D$27="Yes",$D$27=""),OR($D$33="Yes",$D$33="")),"Unknown","")</f>
        <v>Unknown</v>
      </c>
      <c r="E101" s="282" t="str">
        <f>IF(AND(OR($D$26="Yes",$D$26=""),OR($D$32="Yes",$D$32="")),"None","")</f>
        <v/>
      </c>
      <c r="G101" s="282" t="str">
        <f>IF(OR($D$28="Yes",$D$28=""),"No","")</f>
        <v/>
      </c>
    </row>
    <row r="102" spans="2:7" ht="15" hidden="1">
      <c r="B102" s="236" t="s">
        <v>2482</v>
      </c>
      <c r="D102" s="282" t="str">
        <f>IF(AND(OR($D$28="Yes",$D$28=""),OR($D$34="Yes",$D$34="")),"Yes","")</f>
        <v/>
      </c>
      <c r="E102" s="282" t="str">
        <f>IF(AND(OR($D$27="Yes",$D$27=""),OR($D$33="Yes",$D$33="")),"100%","")</f>
        <v>100%</v>
      </c>
      <c r="G102" s="282" t="str">
        <f>IF(OR($D$29="Yes",$D$29=""),"Yes","")</f>
        <v/>
      </c>
    </row>
    <row r="103" spans="2:7" ht="15" hidden="1">
      <c r="B103" s="236" t="s">
        <v>2483</v>
      </c>
      <c r="D103" s="282" t="str">
        <f>IF(AND(OR($D$28="Yes",$D$28=""),OR($D$34="Yes",$D$34="")),"No","")</f>
        <v/>
      </c>
      <c r="E103" s="282" t="str">
        <f>IF(AND(OR($D$27="Yes",$D$27=""),OR($D$33="Yes",$D$33="")),"Greater than 90%","")</f>
        <v>Greater than 90%</v>
      </c>
      <c r="G103" s="282" t="str">
        <f>IF(OR($D$29="Yes",$D$29=""),"No","")</f>
        <v/>
      </c>
    </row>
    <row r="104" spans="2:7" ht="15" hidden="1">
      <c r="B104" s="236" t="s">
        <v>491</v>
      </c>
      <c r="D104" s="282" t="str">
        <f>IF(AND(OR($D$28="Yes",$D$28=""),OR($D$34="Yes",$D$34="")),"Unknown","")</f>
        <v/>
      </c>
      <c r="E104" s="282" t="str">
        <f>IF(AND(OR($D$27="Yes",$D$27=""),OR($D$33="Yes",$D$33="")),"Greater than 75%","")</f>
        <v>Greater than 75%</v>
      </c>
    </row>
    <row r="105" spans="2:7" ht="15" hidden="1">
      <c r="B105" s="236" t="s">
        <v>14982</v>
      </c>
      <c r="D105" s="282" t="str">
        <f>IF(AND(OR($D$29="Yes",$D$29=""),OR($D$35="Yes",$D$35="")),"Yes","")</f>
        <v/>
      </c>
      <c r="E105" s="282" t="str">
        <f>IF(AND(OR($D$27="Yes",$D$27=""),OR($D$33="Yes",$D$33="")),"Greater than 50%","")</f>
        <v>Greater than 50%</v>
      </c>
    </row>
    <row r="106" spans="2:7" ht="15" hidden="1">
      <c r="B106" s="236" t="s">
        <v>12394</v>
      </c>
      <c r="D106" s="282" t="str">
        <f>IF(AND(OR($D$29="Yes",$D$29=""),OR($D$35="Yes",$D$35="")),"No","")</f>
        <v/>
      </c>
      <c r="E106" s="282" t="str">
        <f>IF(AND(OR($D$27="Yes",$D$27=""),OR($D$33="Yes",$D$33="")),"50% or less","")</f>
        <v>50% or less</v>
      </c>
    </row>
    <row r="107" spans="2:7" ht="15" hidden="1">
      <c r="B107" s="236" t="s">
        <v>489</v>
      </c>
      <c r="D107" s="282" t="str">
        <f>IF(AND(OR($D$29="Yes",$D$29=""),OR($D$35="Yes",$D$35="")),"Unknown","")</f>
        <v/>
      </c>
      <c r="E107" s="282" t="str">
        <f>IF(AND(OR($D$27="Yes",$D$27=""),OR($D$33="Yes",$D$33="")),"None","")</f>
        <v>None</v>
      </c>
    </row>
    <row r="108" spans="2:7" ht="15" hidden="1">
      <c r="B108" s="236" t="s">
        <v>13974</v>
      </c>
      <c r="E108" s="282" t="str">
        <f>IF(AND(OR($D$28="Yes",$D$28=""),OR($D$34="Yes",$D$34="")),"100%","")</f>
        <v/>
      </c>
    </row>
    <row r="109" spans="2:7" ht="15" hidden="1">
      <c r="B109" s="236" t="s">
        <v>13976</v>
      </c>
      <c r="E109" s="282" t="str">
        <f>IF(AND(OR($D$28="Yes",$D$28=""),OR($D$34="Yes",$D$34="")),"Greater than 90%","")</f>
        <v/>
      </c>
    </row>
    <row r="110" spans="2:7" ht="15" hidden="1">
      <c r="B110" s="236" t="s">
        <v>13977</v>
      </c>
      <c r="E110" s="282" t="str">
        <f>IF(AND(OR($D$28="Yes",$D$28=""),OR($D$34="Yes",$D$34="")),"Greater than 75%","")</f>
        <v/>
      </c>
    </row>
    <row r="111" spans="2:7" ht="15" hidden="1">
      <c r="B111" s="236" t="s">
        <v>489</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G39:J39"/>
    <mergeCell ref="G45:J45"/>
    <mergeCell ref="G77:J77"/>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D46:E46"/>
    <mergeCell ref="G46:J46"/>
    <mergeCell ref="D47:E47"/>
    <mergeCell ref="G47:J47"/>
    <mergeCell ref="D35:E35"/>
    <mergeCell ref="G38:J38"/>
    <mergeCell ref="D39:E39"/>
    <mergeCell ref="D49:E49"/>
    <mergeCell ref="G35:J35"/>
    <mergeCell ref="D25:E25"/>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93A6FEFC-D8EC-4941-A406-70B938C3C250}"/>
    <hyperlink ref="D20" r:id="rId4" xr:uid="{9383FD42-F71D-4FF9-BCF1-C39BA510FFAF}"/>
    <hyperlink ref="G77" r:id="rId5" xr:uid="{776DC59E-F03C-4ABF-B61B-C4F652640480}"/>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20" customHeight="1">
      <c r="A5" s="262" t="s">
        <v>2278</v>
      </c>
      <c r="B5" s="182" t="str">
        <f ca="1">IF(LEN(A5)=0,"",INDEX('Smelter Look-up'!$A:$A,MATCH($A5,'Smelter Look-up'!$E:$E,0)))</f>
        <v>Tin</v>
      </c>
      <c r="C5" s="186" t="str">
        <f ca="1">IF(LEN(A5)=0,"",INDEX('Smelter Look-up'!$C:$C,MATCH($A5,'Smelter Look-up'!$E:$E,0)))</f>
        <v>Chenzhou Yunxiang Mining and Metallurgy Co., Ltd.</v>
      </c>
      <c r="D5" s="230"/>
      <c r="E5" s="182" t="str">
        <f ca="1">IF(ISERROR($V5),"",OFFSET('Smelter Look-up'!$D$4,$V5-4,0)&amp;"")</f>
        <v>CHINA</v>
      </c>
      <c r="F5" s="182" t="str">
        <f ca="1">IF(ISERROR($V5),"",OFFSET('Smelter Look-up'!$E$4,$V5-4,0))</f>
        <v>CID000228</v>
      </c>
      <c r="G5" s="182" t="str">
        <f ca="1">IF(C5=$X$4,IF(ISERROR($V5),"Enter smelter details","RMI"),IF(ISERROR($V5),"",OFFSET('Smelter Look-up'!$F$4,$V5-4,0)))</f>
        <v>RMI</v>
      </c>
      <c r="H5" s="183">
        <f ca="1">IF(ISERROR($V5),"",OFFSET('Smelter Look-up'!$G$4,$V5-4,0))</f>
        <v>0</v>
      </c>
      <c r="I5" s="184" t="str">
        <f ca="1">IF(ISERROR($V5),"",OFFSET('Smelter Look-up'!$H$4,$V5-4,0))</f>
        <v>Chenzhou</v>
      </c>
      <c r="J5" s="184" t="str">
        <f ca="1">IF(ISERROR($V5),"",OFFSET('Smelter Look-up'!$I$4,$V5-4,0))</f>
        <v>Hunan Sheng</v>
      </c>
      <c r="K5" s="224"/>
      <c r="L5" s="224"/>
      <c r="M5" s="224"/>
      <c r="N5" s="224"/>
      <c r="O5" s="224"/>
      <c r="P5" s="185"/>
      <c r="Q5" s="225"/>
      <c r="R5" s="182" t="str">
        <f ca="1">IF(ISERROR($V5),"",OFFSET('Smelter Look-up'!$C$4,$V5-4,0)&amp;"")</f>
        <v>Chenzhou Yunxiang Mining and Metallurgy Co., Ltd.</v>
      </c>
      <c r="S5" s="181" t="str">
        <f t="shared" ref="S5" ca="1" si="0">IF(B5="","",IF(ISERROR(MATCH($E5,CL,0)),"Unknown",INDIRECT("'C'!$A$"&amp;MATCH($E5,CL,0)+1)))</f>
        <v>CN</v>
      </c>
      <c r="T5" s="181" t="str">
        <f ca="1">IF(B5="","",IF(ISERROR(MATCH($J5,SorP!$B$1:$B$6279,0)),"",INDIRECT("'SorP'!$A$"&amp;MATCH($S5&amp;$J5,SorP!C:C,0))))</f>
        <v>CN-HN</v>
      </c>
      <c r="U5" s="201"/>
      <c r="V5" s="226">
        <f ca="1">IF(C5="",NA(),IF(OR(C5="Smelter not listed",C5="Smelter not yet identified"),MATCH($B5&amp;$D5,'Smelter Look-up'!$J:$J,0),MATCH($B5&amp;$C5,'Smelter Look-up'!$J:$J,0)))</f>
        <v>400</v>
      </c>
      <c r="X5" s="227">
        <f t="shared" ref="X5" ca="1" si="1">IF(AND(C5="Smelter not listed",OR(LEN(D5)=0,LEN(E5)=0)),1,0)</f>
        <v>0</v>
      </c>
      <c r="AB5" s="228" t="str">
        <f t="shared" ref="AB5" ca="1" si="2">B5&amp;C5</f>
        <v>TinChenzhou Yunxiang Mining and Metallurgy Co., Ltd.</v>
      </c>
    </row>
    <row r="6" spans="1:34" s="227" customFormat="1" ht="20" customHeight="1">
      <c r="A6" s="262" t="s">
        <v>771</v>
      </c>
      <c r="B6" s="182" t="str">
        <f ca="1">IF(LEN(A6)=0,"",INDEX('Smelter Look-up'!$A:$A,MATCH($A6,'Smelter Look-up'!$E:$E,0)))</f>
        <v>Tin</v>
      </c>
      <c r="C6" s="186" t="str">
        <f ca="1">IF(LEN(A6)=0,"",INDEX('Smelter Look-up'!$C:$C,MATCH($A6,'Smelter Look-up'!$E:$E,0)))</f>
        <v>Malaysia Smelting Corporation (MSC)</v>
      </c>
      <c r="D6" s="230"/>
      <c r="E6" s="182" t="str">
        <f ca="1">IF(ISERROR($V6),"",OFFSET('Smelter Look-up'!$D$4,$V6-4,0)&amp;"")</f>
        <v>MALAYSIA</v>
      </c>
      <c r="F6" s="182" t="str">
        <f ca="1">IF(ISERROR($V6),"",OFFSET('Smelter Look-up'!$E$4,$V6-4,0))</f>
        <v>CID001105</v>
      </c>
      <c r="G6" s="182" t="str">
        <f ca="1">IF(C6=$X$4,IF(ISERROR($V6),"Enter smelter details","RMI"),IF(ISERROR($V6),"",OFFSET('Smelter Look-up'!$F$4,$V6-4,0)))</f>
        <v>RMI</v>
      </c>
      <c r="H6" s="183">
        <f ca="1">IF(ISERROR($V6),"",OFFSET('Smelter Look-up'!$G$4,$V6-4,0))</f>
        <v>0</v>
      </c>
      <c r="I6" s="184" t="str">
        <f ca="1">IF(ISERROR($V6),"",OFFSET('Smelter Look-up'!$H$4,$V6-4,0))</f>
        <v>Butterworth</v>
      </c>
      <c r="J6" s="184" t="str">
        <f ca="1">IF(ISERROR($V6),"",OFFSET('Smelter Look-up'!$I$4,$V6-4,0))</f>
        <v>Pulau Pinang</v>
      </c>
      <c r="K6" s="224"/>
      <c r="L6" s="224"/>
      <c r="M6" s="224"/>
      <c r="N6" s="224"/>
      <c r="O6" s="224"/>
      <c r="P6" s="185"/>
      <c r="Q6" s="225"/>
      <c r="R6" s="182" t="str">
        <f ca="1">IF(ISERROR($V6),"",OFFSET('Smelter Look-up'!$C$4,$V6-4,0)&amp;"")</f>
        <v>Malaysia Smelting Corporation (MSC)</v>
      </c>
      <c r="S6" s="181" t="str">
        <f t="shared" ref="S6:S37" ca="1" si="3">IF(B6="","",IF(ISERROR(MATCH($E6,CL,0)),"Unknown",INDIRECT("'C'!$A$"&amp;MATCH($E6,CL,0)+1)))</f>
        <v>MY</v>
      </c>
      <c r="T6" s="181" t="str">
        <f ca="1">IF(B6="","",IF(ISERROR(MATCH($J6,SorP!$B$1:$B$6279,0)),"",INDIRECT("'SorP'!$A$"&amp;MATCH($S6&amp;$J6,SorP!C:C,0))))</f>
        <v>MY-07</v>
      </c>
      <c r="U6" s="201"/>
      <c r="V6" s="226">
        <f ca="1">IF(C6="",NA(),IF(OR(C6="Smelter not listed",C6="Smelter not yet identified"),MATCH($B6&amp;$D6,'Smelter Look-up'!$J:$J,0),MATCH($B6&amp;$C6,'Smelter Look-up'!$J:$J,0)))</f>
        <v>458</v>
      </c>
      <c r="X6" s="227">
        <f t="shared" ref="X6:X37" ca="1" si="4">IF(AND(C6="Smelter not listed",OR(LEN(D6)=0,LEN(E6)=0)),1,0)</f>
        <v>0</v>
      </c>
      <c r="AB6" s="228" t="str">
        <f t="shared" ref="AB6:AB37" ca="1" si="5">B6&amp;C6</f>
        <v>TinMalaysia Smelting Corporation (MSC)</v>
      </c>
    </row>
    <row r="7" spans="1:34" s="227" customFormat="1" ht="20" customHeight="1">
      <c r="A7" s="262" t="s">
        <v>772</v>
      </c>
      <c r="B7" s="182" t="str">
        <f ca="1">IF(LEN(A7)=0,"",INDEX('Smelter Look-up'!$A:$A,MATCH($A7,'Smelter Look-up'!$E:$E,0)))</f>
        <v>Tin</v>
      </c>
      <c r="C7" s="186" t="str">
        <f ca="1">IF(LEN(A7)=0,"",INDEX('Smelter Look-up'!$C:$C,MATCH($A7,'Smelter Look-up'!$E:$E,0)))</f>
        <v>Mineracao Taboca S.A.</v>
      </c>
      <c r="D7" s="230"/>
      <c r="E7" s="182" t="str">
        <f ca="1">IF(ISERROR($V7),"",OFFSET('Smelter Look-up'!$D$4,$V7-4,0)&amp;"")</f>
        <v>BRAZIL</v>
      </c>
      <c r="F7" s="182" t="str">
        <f ca="1">IF(ISERROR($V7),"",OFFSET('Smelter Look-up'!$E$4,$V7-4,0))</f>
        <v>CID001173</v>
      </c>
      <c r="G7" s="182" t="str">
        <f ca="1">IF(C7=$X$4,IF(ISERROR($V7),"Enter smelter details","RMI"),IF(ISERROR($V7),"",OFFSET('Smelter Look-up'!$F$4,$V7-4,0)))</f>
        <v>RMI</v>
      </c>
      <c r="H7" s="183">
        <f ca="1">IF(ISERROR($V7),"",OFFSET('Smelter Look-up'!$G$4,$V7-4,0))</f>
        <v>0</v>
      </c>
      <c r="I7" s="184" t="str">
        <f ca="1">IF(ISERROR($V7),"",OFFSET('Smelter Look-up'!$H$4,$V7-4,0))</f>
        <v>Bairro Guarapiranga</v>
      </c>
      <c r="J7" s="184" t="str">
        <f ca="1">IF(ISERROR($V7),"",OFFSET('Smelter Look-up'!$I$4,$V7-4,0))</f>
        <v>São Paulo</v>
      </c>
      <c r="K7" s="224"/>
      <c r="L7" s="224"/>
      <c r="M7" s="224"/>
      <c r="N7" s="224"/>
      <c r="O7" s="224"/>
      <c r="P7" s="185"/>
      <c r="Q7" s="225"/>
      <c r="R7" s="182" t="str">
        <f ca="1">IF(ISERROR($V7),"",OFFSET('Smelter Look-up'!$C$4,$V7-4,0)&amp;"")</f>
        <v>Mineracao Taboca S.A.</v>
      </c>
      <c r="S7" s="181" t="str">
        <f t="shared" ca="1" si="3"/>
        <v>BR</v>
      </c>
      <c r="T7" s="181" t="str">
        <f ca="1">IF(B7="","",IF(ISERROR(MATCH($J7,SorP!$B$1:$B$6279,0)),"",INDIRECT("'SorP'!$A$"&amp;MATCH($S7&amp;$J7,SorP!C:C,0))))</f>
        <v>BR-SP</v>
      </c>
      <c r="U7" s="201"/>
      <c r="V7" s="226">
        <f ca="1">IF(C7="",NA(),IF(OR(C7="Smelter not listed",C7="Smelter not yet identified"),MATCH($B7&amp;$D7,'Smelter Look-up'!$J:$J,0),MATCH($B7&amp;$C7,'Smelter Look-up'!$J:$J,0)))</f>
        <v>465</v>
      </c>
      <c r="X7" s="227">
        <f t="shared" ca="1" si="4"/>
        <v>0</v>
      </c>
      <c r="AB7" s="228" t="str">
        <f t="shared" ca="1" si="5"/>
        <v>TinMineracao Taboca S.A.</v>
      </c>
    </row>
    <row r="8" spans="1:34" s="227" customFormat="1" ht="20" customHeight="1">
      <c r="A8" s="262" t="s">
        <v>773</v>
      </c>
      <c r="B8" s="182" t="str">
        <f ca="1">IF(LEN(A8)=0,"",INDEX('Smelter Look-up'!$A:$A,MATCH($A8,'Smelter Look-up'!$E:$E,0)))</f>
        <v>Tin</v>
      </c>
      <c r="C8" s="186" t="str">
        <f ca="1">IF(LEN(A8)=0,"",INDEX('Smelter Look-up'!$C:$C,MATCH($A8,'Smelter Look-up'!$E:$E,0)))</f>
        <v>Minsur</v>
      </c>
      <c r="D8" s="230"/>
      <c r="E8" s="182" t="str">
        <f ca="1">IF(ISERROR($V8),"",OFFSET('Smelter Look-up'!$D$4,$V8-4,0)&amp;"")</f>
        <v>PERU</v>
      </c>
      <c r="F8" s="182" t="str">
        <f ca="1">IF(ISERROR($V8),"",OFFSET('Smelter Look-up'!$E$4,$V8-4,0))</f>
        <v>CID001182</v>
      </c>
      <c r="G8" s="182" t="str">
        <f ca="1">IF(C8=$X$4,IF(ISERROR($V8),"Enter smelter details","RMI"),IF(ISERROR($V8),"",OFFSET('Smelter Look-up'!$F$4,$V8-4,0)))</f>
        <v>RMI</v>
      </c>
      <c r="H8" s="183">
        <f ca="1">IF(ISERROR($V8),"",OFFSET('Smelter Look-up'!$G$4,$V8-4,0))</f>
        <v>0</v>
      </c>
      <c r="I8" s="184" t="str">
        <f ca="1">IF(ISERROR($V8),"",OFFSET('Smelter Look-up'!$H$4,$V8-4,0))</f>
        <v>Paracas</v>
      </c>
      <c r="J8" s="184" t="str">
        <f ca="1">IF(ISERROR($V8),"",OFFSET('Smelter Look-up'!$I$4,$V8-4,0))</f>
        <v>Ika</v>
      </c>
      <c r="K8" s="224"/>
      <c r="L8" s="224"/>
      <c r="M8" s="224"/>
      <c r="N8" s="224"/>
      <c r="O8" s="224"/>
      <c r="P8" s="185"/>
      <c r="Q8" s="225"/>
      <c r="R8" s="182" t="str">
        <f ca="1">IF(ISERROR($V8),"",OFFSET('Smelter Look-up'!$C$4,$V8-4,0)&amp;"")</f>
        <v>Minsur</v>
      </c>
      <c r="S8" s="181" t="str">
        <f t="shared" ca="1" si="3"/>
        <v>PE</v>
      </c>
      <c r="T8" s="181" t="str">
        <f ca="1">IF(B8="","",IF(ISERROR(MATCH($J8,SorP!$B$1:$B$6279,0)),"",INDIRECT("'SorP'!$A$"&amp;MATCH($S8&amp;$J8,SorP!C:C,0))))</f>
        <v>PE-ICA</v>
      </c>
      <c r="U8" s="201"/>
      <c r="V8" s="226">
        <f ca="1">IF(C8="",NA(),IF(OR(C8="Smelter not listed",C8="Smelter not yet identified"),MATCH($B8&amp;$D8,'Smelter Look-up'!$J:$J,0),MATCH($B8&amp;$C8,'Smelter Look-up'!$J:$J,0)))</f>
        <v>470</v>
      </c>
      <c r="X8" s="227">
        <f t="shared" ca="1" si="4"/>
        <v>0</v>
      </c>
      <c r="AB8" s="228" t="str">
        <f t="shared" ca="1" si="5"/>
        <v>TinMinsur</v>
      </c>
    </row>
    <row r="9" spans="1:34" s="227" customFormat="1" ht="20" customHeight="1">
      <c r="A9" s="262" t="s">
        <v>777</v>
      </c>
      <c r="B9" s="182" t="str">
        <f ca="1">IF(LEN(A9)=0,"",INDEX('Smelter Look-up'!$A:$A,MATCH($A9,'Smelter Look-up'!$E:$E,0)))</f>
        <v>Tin</v>
      </c>
      <c r="C9" s="186" t="str">
        <f ca="1">IF(LEN(A9)=0,"",INDEX('Smelter Look-up'!$C:$C,MATCH($A9,'Smelter Look-up'!$E:$E,0)))</f>
        <v>Operaciones Metalurgicas S.A.</v>
      </c>
      <c r="D9" s="230"/>
      <c r="E9" s="182" t="str">
        <f ca="1">IF(ISERROR($V9),"",OFFSET('Smelter Look-up'!$D$4,$V9-4,0)&amp;"")</f>
        <v>BOLIVIA (PLURINATIONAL STATE OF)</v>
      </c>
      <c r="F9" s="182" t="str">
        <f ca="1">IF(ISERROR($V9),"",OFFSET('Smelter Look-up'!$E$4,$V9-4,0))</f>
        <v>CID001337</v>
      </c>
      <c r="G9" s="182" t="str">
        <f ca="1">IF(C9=$X$4,IF(ISERROR($V9),"Enter smelter details","RMI"),IF(ISERROR($V9),"",OFFSET('Smelter Look-up'!$F$4,$V9-4,0)))</f>
        <v>RMI</v>
      </c>
      <c r="H9" s="183">
        <f ca="1">IF(ISERROR($V9),"",OFFSET('Smelter Look-up'!$G$4,$V9-4,0))</f>
        <v>0</v>
      </c>
      <c r="I9" s="184" t="str">
        <f ca="1">IF(ISERROR($V9),"",OFFSET('Smelter Look-up'!$H$4,$V9-4,0))</f>
        <v>Oruro</v>
      </c>
      <c r="J9" s="184" t="str">
        <f ca="1">IF(ISERROR($V9),"",OFFSET('Smelter Look-up'!$I$4,$V9-4,0))</f>
        <v>Oruro</v>
      </c>
      <c r="K9" s="224"/>
      <c r="L9" s="224"/>
      <c r="M9" s="224"/>
      <c r="N9" s="224"/>
      <c r="O9" s="224"/>
      <c r="P9" s="185"/>
      <c r="Q9" s="225"/>
      <c r="R9" s="182" t="str">
        <f ca="1">IF(ISERROR($V9),"",OFFSET('Smelter Look-up'!$C$4,$V9-4,0)&amp;"")</f>
        <v>Operaciones Metalurgicas S.A.</v>
      </c>
      <c r="S9" s="181" t="str">
        <f t="shared" ca="1" si="3"/>
        <v>BO</v>
      </c>
      <c r="T9" s="181" t="str">
        <f ca="1">IF(B9="","",IF(ISERROR(MATCH($J9,SorP!$B$1:$B$6279,0)),"",INDIRECT("'SorP'!$A$"&amp;MATCH($S9&amp;$J9,SorP!C:C,0))))</f>
        <v>BO-O</v>
      </c>
      <c r="U9" s="201"/>
      <c r="V9" s="226">
        <f ca="1">IF(C9="",NA(),IF(OR(C9="Smelter not listed",C9="Smelter not yet identified"),MATCH($B9&amp;$D9,'Smelter Look-up'!$J:$J,0),MATCH($B9&amp;$C9,'Smelter Look-up'!$J:$J,0)))</f>
        <v>482</v>
      </c>
      <c r="X9" s="227">
        <f t="shared" ca="1" si="4"/>
        <v>0</v>
      </c>
      <c r="AB9" s="228" t="str">
        <f t="shared" ca="1" si="5"/>
        <v>TinOperaciones Metalurgicas S.A.</v>
      </c>
    </row>
    <row r="10" spans="1:34" s="227" customFormat="1" ht="20" customHeight="1">
      <c r="A10" s="262" t="s">
        <v>780</v>
      </c>
      <c r="B10" s="182" t="str">
        <f ca="1">IF(LEN(A10)=0,"",INDEX('Smelter Look-up'!$A:$A,MATCH($A10,'Smelter Look-up'!$E:$E,0)))</f>
        <v>Tin</v>
      </c>
      <c r="C10" s="186" t="str">
        <f ca="1">IF(LEN(A10)=0,"",INDEX('Smelter Look-up'!$C:$C,MATCH($A10,'Smelter Look-up'!$E:$E,0)))</f>
        <v>PT Refined Bangka Tin</v>
      </c>
      <c r="D10" s="230"/>
      <c r="E10" s="182" t="str">
        <f ca="1">IF(ISERROR($V10),"",OFFSET('Smelter Look-up'!$D$4,$V10-4,0)&amp;"")</f>
        <v>INDONESIA</v>
      </c>
      <c r="F10" s="182" t="str">
        <f ca="1">IF(ISERROR($V10),"",OFFSET('Smelter Look-up'!$E$4,$V10-4,0))</f>
        <v>CID001460</v>
      </c>
      <c r="G10" s="182" t="str">
        <f ca="1">IF(C10=$X$4,IF(ISERROR($V10),"Enter smelter details","RMI"),IF(ISERROR($V10),"",OFFSET('Smelter Look-up'!$F$4,$V10-4,0)))</f>
        <v>RMI</v>
      </c>
      <c r="H10" s="183">
        <f ca="1">IF(ISERROR($V10),"",OFFSET('Smelter Look-up'!$G$4,$V10-4,0))</f>
        <v>0</v>
      </c>
      <c r="I10" s="184" t="str">
        <f ca="1">IF(ISERROR($V10),"",OFFSET('Smelter Look-up'!$H$4,$V10-4,0))</f>
        <v>Sungailiat</v>
      </c>
      <c r="J10" s="184" t="str">
        <f ca="1">IF(ISERROR($V10),"",OFFSET('Smelter Look-up'!$I$4,$V10-4,0))</f>
        <v>Kepulauan Bangka Belitung</v>
      </c>
      <c r="K10" s="224"/>
      <c r="L10" s="224"/>
      <c r="M10" s="224"/>
      <c r="N10" s="224"/>
      <c r="O10" s="224"/>
      <c r="P10" s="185"/>
      <c r="Q10" s="225"/>
      <c r="R10" s="182" t="str">
        <f ca="1">IF(ISERROR($V10),"",OFFSET('Smelter Look-up'!$C$4,$V10-4,0)&amp;"")</f>
        <v>PT Refined Bangka Tin</v>
      </c>
      <c r="S10" s="181" t="str">
        <f t="shared" ca="1" si="3"/>
        <v>ID</v>
      </c>
      <c r="T10" s="181" t="str">
        <f ca="1">IF(B10="","",IF(ISERROR(MATCH($J10,SorP!$B$1:$B$6279,0)),"",INDIRECT("'SorP'!$A$"&amp;MATCH($S10&amp;$J10,SorP!C:C,0))))</f>
        <v>ID-BB</v>
      </c>
      <c r="U10" s="201"/>
      <c r="V10" s="226">
        <f ca="1">IF(C10="",NA(),IF(OR(C10="Smelter not listed",C10="Smelter not yet identified"),MATCH($B10&amp;$D10,'Smelter Look-up'!$J:$J,0),MATCH($B10&amp;$C10,'Smelter Look-up'!$J:$J,0)))</f>
        <v>507</v>
      </c>
      <c r="X10" s="227">
        <f t="shared" ca="1" si="4"/>
        <v>0</v>
      </c>
      <c r="AB10" s="228" t="str">
        <f t="shared" ca="1" si="5"/>
        <v>TinPT Refined Bangka Tin</v>
      </c>
    </row>
    <row r="11" spans="1:34" s="227" customFormat="1" ht="20" customHeight="1">
      <c r="A11" s="262" t="s">
        <v>15493</v>
      </c>
      <c r="B11" s="182" t="str">
        <f ca="1">IF(LEN(A11)=0,"",INDEX('Smelter Look-up'!$A:$A,MATCH($A11,'Smelter Look-up'!$E:$E,0)))</f>
        <v>Tin</v>
      </c>
      <c r="C11" s="186" t="str">
        <f ca="1">IF(LEN(A11)=0,"",INDEX('Smelter Look-up'!$C:$C,MATCH($A11,'Smelter Look-up'!$E:$E,0)))</f>
        <v>PT Sariwiguna Binasentosa</v>
      </c>
      <c r="D11" s="230"/>
      <c r="E11" s="182" t="str">
        <f ca="1">IF(ISERROR($V11),"",OFFSET('Smelter Look-up'!$D$4,$V11-4,0)&amp;"")</f>
        <v>INDONESIA</v>
      </c>
      <c r="F11" s="182" t="str">
        <f ca="1">IF(ISERROR($V11),"",OFFSET('Smelter Look-up'!$E$4,$V11-4,0))</f>
        <v>CID001463</v>
      </c>
      <c r="G11" s="182" t="str">
        <f ca="1">IF(C11=$X$4,IF(ISERROR($V11),"Enter smelter details","RMI"),IF(ISERROR($V11),"",OFFSET('Smelter Look-up'!$F$4,$V11-4,0)))</f>
        <v>RMI</v>
      </c>
      <c r="H11" s="183">
        <f ca="1">IF(ISERROR($V11),"",OFFSET('Smelter Look-up'!$G$4,$V11-4,0))</f>
        <v>0</v>
      </c>
      <c r="I11" s="184" t="str">
        <f ca="1">IF(ISERROR($V11),"",OFFSET('Smelter Look-up'!$H$4,$V11-4,0))</f>
        <v>Pangkal Pinang</v>
      </c>
      <c r="J11" s="184" t="str">
        <f ca="1">IF(ISERROR($V11),"",OFFSET('Smelter Look-up'!$I$4,$V11-4,0))</f>
        <v>Kepulauan Bangka Belitung</v>
      </c>
      <c r="K11" s="224"/>
      <c r="L11" s="224"/>
      <c r="M11" s="224"/>
      <c r="N11" s="224"/>
      <c r="O11" s="224"/>
      <c r="P11" s="185"/>
      <c r="Q11" s="225"/>
      <c r="R11" s="182" t="str">
        <f ca="1">IF(ISERROR($V11),"",OFFSET('Smelter Look-up'!$C$4,$V11-4,0)&amp;"")</f>
        <v>PT Sariwiguna Binasentosa</v>
      </c>
      <c r="S11" s="181" t="str">
        <f t="shared" ca="1" si="3"/>
        <v>ID</v>
      </c>
      <c r="T11" s="181" t="str">
        <f ca="1">IF(B11="","",IF(ISERROR(MATCH($J11,SorP!$B$1:$B$6279,0)),"",INDIRECT("'SorP'!$A$"&amp;MATCH($S11&amp;$J11,SorP!C:C,0))))</f>
        <v>ID-BB</v>
      </c>
      <c r="U11" s="201"/>
      <c r="V11" s="226">
        <f ca="1">IF(C11="",NA(),IF(OR(C11="Smelter not listed",C11="Smelter not yet identified"),MATCH($B11&amp;$D11,'Smelter Look-up'!$J:$J,0),MATCH($B11&amp;$C11,'Smelter Look-up'!$J:$J,0)))</f>
        <v>508</v>
      </c>
      <c r="X11" s="227">
        <f t="shared" ca="1" si="4"/>
        <v>0</v>
      </c>
      <c r="AB11" s="228" t="str">
        <f t="shared" ca="1" si="5"/>
        <v>TinPT Sariwiguna Binasentosa</v>
      </c>
    </row>
    <row r="12" spans="1:34" s="227" customFormat="1" ht="20" customHeight="1">
      <c r="A12" s="262" t="s">
        <v>15116</v>
      </c>
      <c r="B12" s="182" t="str">
        <f ca="1">IF(LEN(A12)=0,"",INDEX('Smelter Look-up'!$A:$A,MATCH($A12,'Smelter Look-up'!$E:$E,0)))</f>
        <v>Tin</v>
      </c>
      <c r="C12" s="186" t="str">
        <f ca="1">IF(LEN(A12)=0,"",INDEX('Smelter Look-up'!$C:$C,MATCH($A12,'Smelter Look-up'!$E:$E,0)))</f>
        <v>PT Stanindo Inti Perkasa</v>
      </c>
      <c r="D12" s="230"/>
      <c r="E12" s="182" t="str">
        <f ca="1">IF(ISERROR($V12),"",OFFSET('Smelter Look-up'!$D$4,$V12-4,0)&amp;"")</f>
        <v>INDONESIA</v>
      </c>
      <c r="F12" s="182" t="str">
        <f ca="1">IF(ISERROR($V12),"",OFFSET('Smelter Look-up'!$E$4,$V12-4,0))</f>
        <v>CID001468</v>
      </c>
      <c r="G12" s="182" t="str">
        <f ca="1">IF(C12=$X$4,IF(ISERROR($V12),"Enter smelter details","RMI"),IF(ISERROR($V12),"",OFFSET('Smelter Look-up'!$F$4,$V12-4,0)))</f>
        <v>RMI</v>
      </c>
      <c r="H12" s="183">
        <f ca="1">IF(ISERROR($V12),"",OFFSET('Smelter Look-up'!$G$4,$V12-4,0))</f>
        <v>0</v>
      </c>
      <c r="I12" s="184" t="str">
        <f ca="1">IF(ISERROR($V12),"",OFFSET('Smelter Look-up'!$H$4,$V12-4,0))</f>
        <v>Pangkal Pinang</v>
      </c>
      <c r="J12" s="184" t="str">
        <f ca="1">IF(ISERROR($V12),"",OFFSET('Smelter Look-up'!$I$4,$V12-4,0))</f>
        <v>Kepulauan Bangka Belitung</v>
      </c>
      <c r="K12" s="224"/>
      <c r="L12" s="224"/>
      <c r="M12" s="224"/>
      <c r="N12" s="224"/>
      <c r="O12" s="224"/>
      <c r="P12" s="185"/>
      <c r="Q12" s="225"/>
      <c r="R12" s="182" t="str">
        <f ca="1">IF(ISERROR($V12),"",OFFSET('Smelter Look-up'!$C$4,$V12-4,0)&amp;"")</f>
        <v>PT Stanindo Inti Perkasa</v>
      </c>
      <c r="S12" s="181" t="str">
        <f t="shared" ca="1" si="3"/>
        <v>ID</v>
      </c>
      <c r="T12" s="181" t="str">
        <f ca="1">IF(B12="","",IF(ISERROR(MATCH($J12,SorP!$B$1:$B$6279,0)),"",INDIRECT("'SorP'!$A$"&amp;MATCH($S12&amp;$J12,SorP!C:C,0))))</f>
        <v>ID-BB</v>
      </c>
      <c r="U12" s="201"/>
      <c r="V12" s="226">
        <f ca="1">IF(C12="",NA(),IF(OR(C12="Smelter not listed",C12="Smelter not yet identified"),MATCH($B12&amp;$D12,'Smelter Look-up'!$J:$J,0),MATCH($B12&amp;$C12,'Smelter Look-up'!$J:$J,0)))</f>
        <v>509</v>
      </c>
      <c r="X12" s="227">
        <f t="shared" ca="1" si="4"/>
        <v>0</v>
      </c>
      <c r="AB12" s="228" t="str">
        <f t="shared" ca="1" si="5"/>
        <v>TinPT Stanindo Inti Perkasa</v>
      </c>
    </row>
    <row r="13" spans="1:34" s="227" customFormat="1" ht="20" customHeight="1">
      <c r="A13" s="262" t="s">
        <v>800</v>
      </c>
      <c r="B13" s="182" t="str">
        <f ca="1">IF(LEN(A13)=0,"",INDEX('Smelter Look-up'!$A:$A,MATCH($A13,'Smelter Look-up'!$E:$E,0)))</f>
        <v>Tin</v>
      </c>
      <c r="C13" s="186" t="str">
        <f ca="1">IF(LEN(A13)=0,"",INDEX('Smelter Look-up'!$C:$C,MATCH($A13,'Smelter Look-up'!$E:$E,0)))</f>
        <v>PT Timah Tbk Kundur</v>
      </c>
      <c r="D13" s="230"/>
      <c r="E13" s="182" t="str">
        <f ca="1">IF(ISERROR($V13),"",OFFSET('Smelter Look-up'!$D$4,$V13-4,0)&amp;"")</f>
        <v>INDONESIA</v>
      </c>
      <c r="F13" s="182" t="str">
        <f ca="1">IF(ISERROR($V13),"",OFFSET('Smelter Look-up'!$E$4,$V13-4,0))</f>
        <v>CID001477</v>
      </c>
      <c r="G13" s="182" t="str">
        <f ca="1">IF(C13=$X$4,IF(ISERROR($V13),"Enter smelter details","RMI"),IF(ISERROR($V13),"",OFFSET('Smelter Look-up'!$F$4,$V13-4,0)))</f>
        <v>RMI</v>
      </c>
      <c r="H13" s="183">
        <f ca="1">IF(ISERROR($V13),"",OFFSET('Smelter Look-up'!$G$4,$V13-4,0))</f>
        <v>0</v>
      </c>
      <c r="I13" s="184" t="str">
        <f ca="1">IF(ISERROR($V13),"",OFFSET('Smelter Look-up'!$H$4,$V13-4,0))</f>
        <v>Kundur</v>
      </c>
      <c r="J13" s="184" t="str">
        <f ca="1">IF(ISERROR($V13),"",OFFSET('Smelter Look-up'!$I$4,$V13-4,0))</f>
        <v>Riau</v>
      </c>
      <c r="K13" s="224"/>
      <c r="L13" s="224"/>
      <c r="M13" s="224"/>
      <c r="N13" s="224"/>
      <c r="O13" s="224"/>
      <c r="P13" s="185"/>
      <c r="Q13" s="225"/>
      <c r="R13" s="182" t="str">
        <f ca="1">IF(ISERROR($V13),"",OFFSET('Smelter Look-up'!$C$4,$V13-4,0)&amp;"")</f>
        <v>PT Timah Tbk Kundur</v>
      </c>
      <c r="S13" s="181" t="str">
        <f t="shared" ca="1" si="3"/>
        <v>ID</v>
      </c>
      <c r="T13" s="181" t="str">
        <f ca="1">IF(B13="","",IF(ISERROR(MATCH($J13,SorP!$B$1:$B$6279,0)),"",INDIRECT("'SorP'!$A$"&amp;MATCH($S13&amp;$J13,SorP!C:C,0))))</f>
        <v>ID-RI</v>
      </c>
      <c r="U13" s="201"/>
      <c r="V13" s="226">
        <f ca="1">IF(C13="",NA(),IF(OR(C13="Smelter not listed",C13="Smelter not yet identified"),MATCH($B13&amp;$D13,'Smelter Look-up'!$J:$J,0),MATCH($B13&amp;$C13,'Smelter Look-up'!$J:$J,0)))</f>
        <v>513</v>
      </c>
      <c r="X13" s="227">
        <f t="shared" ca="1" si="4"/>
        <v>0</v>
      </c>
      <c r="AB13" s="228" t="str">
        <f t="shared" ca="1" si="5"/>
        <v>TinPT Timah Tbk Kundur</v>
      </c>
    </row>
    <row r="14" spans="1:34" s="227" customFormat="1" ht="20" customHeight="1">
      <c r="A14" s="262" t="s">
        <v>781</v>
      </c>
      <c r="B14" s="182" t="str">
        <f ca="1">IF(LEN(A14)=0,"",INDEX('Smelter Look-up'!$A:$A,MATCH($A14,'Smelter Look-up'!$E:$E,0)))</f>
        <v>Tin</v>
      </c>
      <c r="C14" s="186" t="str">
        <f ca="1">IF(LEN(A14)=0,"",INDEX('Smelter Look-up'!$C:$C,MATCH($A14,'Smelter Look-up'!$E:$E,0)))</f>
        <v>PT Timah Tbk Mentok</v>
      </c>
      <c r="D14" s="230"/>
      <c r="E14" s="182" t="str">
        <f ca="1">IF(ISERROR($V14),"",OFFSET('Smelter Look-up'!$D$4,$V14-4,0)&amp;"")</f>
        <v>INDONESIA</v>
      </c>
      <c r="F14" s="182" t="str">
        <f ca="1">IF(ISERROR($V14),"",OFFSET('Smelter Look-up'!$E$4,$V14-4,0))</f>
        <v>CID001482</v>
      </c>
      <c r="G14" s="182" t="str">
        <f ca="1">IF(C14=$X$4,IF(ISERROR($V14),"Enter smelter details","RMI"),IF(ISERROR($V14),"",OFFSET('Smelter Look-up'!$F$4,$V14-4,0)))</f>
        <v>RMI</v>
      </c>
      <c r="H14" s="183">
        <f ca="1">IF(ISERROR($V14),"",OFFSET('Smelter Look-up'!$G$4,$V14-4,0))</f>
        <v>0</v>
      </c>
      <c r="I14" s="184" t="str">
        <f ca="1">IF(ISERROR($V14),"",OFFSET('Smelter Look-up'!$H$4,$V14-4,0))</f>
        <v>Mentok</v>
      </c>
      <c r="J14" s="184" t="str">
        <f ca="1">IF(ISERROR($V14),"",OFFSET('Smelter Look-up'!$I$4,$V14-4,0))</f>
        <v>Kepulauan Bangka Belitung</v>
      </c>
      <c r="K14" s="224"/>
      <c r="L14" s="224"/>
      <c r="M14" s="224"/>
      <c r="N14" s="224"/>
      <c r="O14" s="224"/>
      <c r="P14" s="185"/>
      <c r="Q14" s="225"/>
      <c r="R14" s="182" t="str">
        <f ca="1">IF(ISERROR($V14),"",OFFSET('Smelter Look-up'!$C$4,$V14-4,0)&amp;"")</f>
        <v>PT Timah Tbk Mentok</v>
      </c>
      <c r="S14" s="181" t="str">
        <f t="shared" ca="1" si="3"/>
        <v>ID</v>
      </c>
      <c r="T14" s="181" t="str">
        <f ca="1">IF(B14="","",IF(ISERROR(MATCH($J14,SorP!$B$1:$B$6279,0)),"",INDIRECT("'SorP'!$A$"&amp;MATCH($S14&amp;$J14,SorP!C:C,0))))</f>
        <v>ID-BB</v>
      </c>
      <c r="U14" s="201"/>
      <c r="V14" s="226">
        <f ca="1">IF(C14="",NA(),IF(OR(C14="Smelter not listed",C14="Smelter not yet identified"),MATCH($B14&amp;$D14,'Smelter Look-up'!$J:$J,0),MATCH($B14&amp;$C14,'Smelter Look-up'!$J:$J,0)))</f>
        <v>514</v>
      </c>
      <c r="X14" s="227">
        <f t="shared" ca="1" si="4"/>
        <v>0</v>
      </c>
      <c r="AB14" s="228" t="str">
        <f t="shared" ca="1" si="5"/>
        <v>TinPT Timah Tbk Mentok</v>
      </c>
    </row>
    <row r="15" spans="1:34" s="227" customFormat="1" ht="20" customHeight="1">
      <c r="A15" s="262" t="s">
        <v>784</v>
      </c>
      <c r="B15" s="182" t="str">
        <f ca="1">IF(LEN(A15)=0,"",INDEX('Smelter Look-up'!$A:$A,MATCH($A15,'Smelter Look-up'!$E:$E,0)))</f>
        <v>Tin</v>
      </c>
      <c r="C15" s="186" t="str">
        <f ca="1">IF(LEN(A15)=0,"",INDEX('Smelter Look-up'!$C:$C,MATCH($A15,'Smelter Look-up'!$E:$E,0)))</f>
        <v>Thaisarco</v>
      </c>
      <c r="D15" s="230"/>
      <c r="E15" s="182" t="str">
        <f ca="1">IF(ISERROR($V15),"",OFFSET('Smelter Look-up'!$D$4,$V15-4,0)&amp;"")</f>
        <v>THAILAND</v>
      </c>
      <c r="F15" s="182" t="str">
        <f ca="1">IF(ISERROR($V15),"",OFFSET('Smelter Look-up'!$E$4,$V15-4,0))</f>
        <v>CID001898</v>
      </c>
      <c r="G15" s="182" t="str">
        <f ca="1">IF(C15=$X$4,IF(ISERROR($V15),"Enter smelter details","RMI"),IF(ISERROR($V15),"",OFFSET('Smelter Look-up'!$F$4,$V15-4,0)))</f>
        <v>RMI</v>
      </c>
      <c r="H15" s="183">
        <f ca="1">IF(ISERROR($V15),"",OFFSET('Smelter Look-up'!$G$4,$V15-4,0))</f>
        <v>0</v>
      </c>
      <c r="I15" s="184" t="str">
        <f ca="1">IF(ISERROR($V15),"",OFFSET('Smelter Look-up'!$H$4,$V15-4,0))</f>
        <v>Amphur Muang</v>
      </c>
      <c r="J15" s="184" t="str">
        <f ca="1">IF(ISERROR($V15),"",OFFSET('Smelter Look-up'!$I$4,$V15-4,0))</f>
        <v>Phuket</v>
      </c>
      <c r="K15" s="224"/>
      <c r="L15" s="224"/>
      <c r="M15" s="224"/>
      <c r="N15" s="224"/>
      <c r="O15" s="224"/>
      <c r="P15" s="185"/>
      <c r="Q15" s="225"/>
      <c r="R15" s="182" t="str">
        <f ca="1">IF(ISERROR($V15),"",OFFSET('Smelter Look-up'!$C$4,$V15-4,0)&amp;"")</f>
        <v>Thaisarco</v>
      </c>
      <c r="S15" s="181" t="str">
        <f t="shared" ca="1" si="3"/>
        <v>TH</v>
      </c>
      <c r="T15" s="181" t="str">
        <f ca="1">IF(B15="","",IF(ISERROR(MATCH($J15,SorP!$B$1:$B$6279,0)),"",INDIRECT("'SorP'!$A$"&amp;MATCH($S15&amp;$J15,SorP!C:C,0))))</f>
        <v>TH-83</v>
      </c>
      <c r="U15" s="201"/>
      <c r="V15" s="226">
        <f ca="1">IF(C15="",NA(),IF(OR(C15="Smelter not listed",C15="Smelter not yet identified"),MATCH($B15&amp;$D15,'Smelter Look-up'!$J:$J,0),MATCH($B15&amp;$C15,'Smelter Look-up'!$J:$J,0)))</f>
        <v>526</v>
      </c>
      <c r="X15" s="227">
        <f t="shared" ca="1" si="4"/>
        <v>0</v>
      </c>
      <c r="AB15" s="228" t="str">
        <f t="shared" ca="1" si="5"/>
        <v>TinThaisarco</v>
      </c>
    </row>
    <row r="16" spans="1:34" s="227" customFormat="1" ht="20" customHeight="1">
      <c r="A16" s="262" t="s">
        <v>786</v>
      </c>
      <c r="B16" s="182" t="str">
        <f ca="1">IF(LEN(A16)=0,"",INDEX('Smelter Look-up'!$A:$A,MATCH($A16,'Smelter Look-up'!$E:$E,0)))</f>
        <v>Tin</v>
      </c>
      <c r="C16" s="186" t="str">
        <f ca="1">IF(LEN(A16)=0,"",INDEX('Smelter Look-up'!$C:$C,MATCH($A16,'Smelter Look-up'!$E:$E,0)))</f>
        <v>Yunnan Chengfeng Non-ferrous Metals Co., Ltd.</v>
      </c>
      <c r="D16" s="230"/>
      <c r="E16" s="182" t="str">
        <f ca="1">IF(ISERROR($V16),"",OFFSET('Smelter Look-up'!$D$4,$V16-4,0)&amp;"")</f>
        <v>CHINA</v>
      </c>
      <c r="F16" s="182" t="str">
        <f ca="1">IF(ISERROR($V16),"",OFFSET('Smelter Look-up'!$E$4,$V16-4,0))</f>
        <v>CID002158</v>
      </c>
      <c r="G16" s="182" t="str">
        <f ca="1">IF(C16=$X$4,IF(ISERROR($V16),"Enter smelter details","RMI"),IF(ISERROR($V16),"",OFFSET('Smelter Look-up'!$F$4,$V16-4,0)))</f>
        <v>RMI</v>
      </c>
      <c r="H16" s="183">
        <f ca="1">IF(ISERROR($V16),"",OFFSET('Smelter Look-up'!$G$4,$V16-4,0))</f>
        <v>0</v>
      </c>
      <c r="I16" s="184" t="str">
        <f ca="1">IF(ISERROR($V16),"",OFFSET('Smelter Look-up'!$H$4,$V16-4,0))</f>
        <v>Gejiu</v>
      </c>
      <c r="J16" s="184" t="str">
        <f ca="1">IF(ISERROR($V16),"",OFFSET('Smelter Look-up'!$I$4,$V16-4,0))</f>
        <v>Yunnan Sheng</v>
      </c>
      <c r="K16" s="224"/>
      <c r="L16" s="224"/>
      <c r="M16" s="224"/>
      <c r="N16" s="224"/>
      <c r="O16" s="224"/>
      <c r="P16" s="185"/>
      <c r="Q16" s="225"/>
      <c r="R16" s="182" t="str">
        <f ca="1">IF(ISERROR($V16),"",OFFSET('Smelter Look-up'!$C$4,$V16-4,0)&amp;"")</f>
        <v>Yunnan Chengfeng Non-ferrous Metals Co., Ltd.</v>
      </c>
      <c r="S16" s="181" t="str">
        <f t="shared" ca="1" si="3"/>
        <v>CN</v>
      </c>
      <c r="T16" s="181" t="str">
        <f ca="1">IF(B16="","",IF(ISERROR(MATCH($J16,SorP!$B$1:$B$6279,0)),"",INDIRECT("'SorP'!$A$"&amp;MATCH($S16&amp;$J16,SorP!C:C,0))))</f>
        <v>CN-YN</v>
      </c>
      <c r="U16" s="201"/>
      <c r="V16" s="226">
        <f ca="1">IF(C16="",NA(),IF(OR(C16="Smelter not listed",C16="Smelter not yet identified"),MATCH($B16&amp;$D16,'Smelter Look-up'!$J:$J,0),MATCH($B16&amp;$C16,'Smelter Look-up'!$J:$J,0)))</f>
        <v>543</v>
      </c>
      <c r="X16" s="227">
        <f t="shared" ca="1" si="4"/>
        <v>0</v>
      </c>
      <c r="AB16" s="228" t="str">
        <f t="shared" ca="1" si="5"/>
        <v>TinYunnan Chengfeng Non-ferrous Metals Co., Ltd.</v>
      </c>
    </row>
    <row r="17" spans="1:28" s="227" customFormat="1" ht="20" customHeight="1">
      <c r="A17" s="262" t="s">
        <v>787</v>
      </c>
      <c r="B17" s="182" t="str">
        <f ca="1">IF(LEN(A17)=0,"",INDEX('Smelter Look-up'!$A:$A,MATCH($A17,'Smelter Look-up'!$E:$E,0)))</f>
        <v>Tin</v>
      </c>
      <c r="C17" s="186" t="str">
        <f ca="1">IF(LEN(A17)=0,"",INDEX('Smelter Look-up'!$C:$C,MATCH($A17,'Smelter Look-up'!$E:$E,0)))</f>
        <v>Tin Smelting Branch of Yunnan Tin Co., Ltd.</v>
      </c>
      <c r="D17" s="230"/>
      <c r="E17" s="182" t="str">
        <f ca="1">IF(ISERROR($V17),"",OFFSET('Smelter Look-up'!$D$4,$V17-4,0)&amp;"")</f>
        <v>CHINA</v>
      </c>
      <c r="F17" s="182" t="str">
        <f ca="1">IF(ISERROR($V17),"",OFFSET('Smelter Look-up'!$E$4,$V17-4,0))</f>
        <v>CID002180</v>
      </c>
      <c r="G17" s="182" t="str">
        <f ca="1">IF(C17=$X$4,IF(ISERROR($V17),"Enter smelter details","RMI"),IF(ISERROR($V17),"",OFFSET('Smelter Look-up'!$F$4,$V17-4,0)))</f>
        <v>RMI</v>
      </c>
      <c r="H17" s="183">
        <f ca="1">IF(ISERROR($V17),"",OFFSET('Smelter Look-up'!$G$4,$V17-4,0))</f>
        <v>0</v>
      </c>
      <c r="I17" s="184" t="str">
        <f ca="1">IF(ISERROR($V17),"",OFFSET('Smelter Look-up'!$H$4,$V17-4,0))</f>
        <v>Gejiu</v>
      </c>
      <c r="J17" s="184" t="str">
        <f ca="1">IF(ISERROR($V17),"",OFFSET('Smelter Look-up'!$I$4,$V17-4,0))</f>
        <v>Yunnan Sheng</v>
      </c>
      <c r="K17" s="224"/>
      <c r="L17" s="224"/>
      <c r="M17" s="224"/>
      <c r="N17" s="224"/>
      <c r="O17" s="224"/>
      <c r="P17" s="185"/>
      <c r="Q17" s="225"/>
      <c r="R17" s="182" t="str">
        <f ca="1">IF(ISERROR($V17),"",OFFSET('Smelter Look-up'!$C$4,$V17-4,0)&amp;"")</f>
        <v>Tin Smelting Branch of Yunnan Tin Co., Ltd.</v>
      </c>
      <c r="S17" s="181" t="str">
        <f t="shared" ca="1" si="3"/>
        <v>CN</v>
      </c>
      <c r="T17" s="181" t="str">
        <f ca="1">IF(B17="","",IF(ISERROR(MATCH($J17,SorP!$B$1:$B$6279,0)),"",INDIRECT("'SorP'!$A$"&amp;MATCH($S17&amp;$J17,SorP!C:C,0))))</f>
        <v>CN-YN</v>
      </c>
      <c r="U17" s="201"/>
      <c r="V17" s="226">
        <f ca="1">IF(C17="",NA(),IF(OR(C17="Smelter not listed",C17="Smelter not yet identified"),MATCH($B17&amp;$D17,'Smelter Look-up'!$J:$J,0),MATCH($B17&amp;$C17,'Smelter Look-up'!$J:$J,0)))</f>
        <v>529</v>
      </c>
      <c r="X17" s="227">
        <f t="shared" ca="1" si="4"/>
        <v>0</v>
      </c>
      <c r="AB17" s="228" t="str">
        <f t="shared" ca="1" si="5"/>
        <v>TinTin Smelting Branch of Yunnan Tin Co., Ltd.</v>
      </c>
    </row>
    <row r="18" spans="1:28" s="227" customFormat="1" ht="20" customHeight="1">
      <c r="A18" s="181" t="s">
        <v>1397</v>
      </c>
      <c r="B18" s="182" t="str">
        <f ca="1">IF(LEN(A18)=0,"",INDEX('Smelter Look-up'!$A:$A,MATCH($A18,'Smelter Look-up'!$E:$E,0)))</f>
        <v>Tin</v>
      </c>
      <c r="C18" s="186" t="str">
        <f ca="1">IF(LEN(A18)=0,"",INDEX('Smelter Look-up'!$C:$C,MATCH($A18,'Smelter Look-up'!$E:$E,0)))</f>
        <v>O.M. Manufacturing Philippines, Inc.</v>
      </c>
      <c r="D18" s="230"/>
      <c r="E18" s="182" t="str">
        <f ca="1">IF(ISERROR($V18),"",OFFSET('Smelter Look-up'!$D$4,$V18-4,0)&amp;"")</f>
        <v>PHILIPPINES</v>
      </c>
      <c r="F18" s="182" t="str">
        <f ca="1">IF(ISERROR($V18),"",OFFSET('Smelter Look-up'!$E$4,$V18-4,0))</f>
        <v>CID002517</v>
      </c>
      <c r="G18" s="182" t="str">
        <f ca="1">IF(C18=$X$4,IF(ISERROR($V18),"Enter smelter details","RMI"),IF(ISERROR($V18),"",OFFSET('Smelter Look-up'!$F$4,$V18-4,0)))</f>
        <v>RMI</v>
      </c>
      <c r="H18" s="183">
        <f ca="1">IF(ISERROR($V18),"",OFFSET('Smelter Look-up'!$G$4,$V18-4,0))</f>
        <v>0</v>
      </c>
      <c r="I18" s="184" t="str">
        <f ca="1">IF(ISERROR($V18),"",OFFSET('Smelter Look-up'!$H$4,$V18-4,0))</f>
        <v>Rosario</v>
      </c>
      <c r="J18" s="184" t="str">
        <f ca="1">IF(ISERROR($V18),"",OFFSET('Smelter Look-up'!$I$4,$V18-4,0))</f>
        <v>Cavite</v>
      </c>
      <c r="K18" s="224"/>
      <c r="L18" s="224"/>
      <c r="M18" s="224"/>
      <c r="N18" s="224"/>
      <c r="O18" s="224"/>
      <c r="P18" s="185"/>
      <c r="Q18" s="225"/>
      <c r="R18" s="182" t="str">
        <f ca="1">IF(ISERROR($V18),"",OFFSET('Smelter Look-up'!$C$4,$V18-4,0)&amp;"")</f>
        <v>O.M. Manufacturing Philippines, Inc.</v>
      </c>
      <c r="S18" s="181" t="str">
        <f t="shared" ca="1" si="3"/>
        <v>PH</v>
      </c>
      <c r="T18" s="181" t="str">
        <f ca="1">IF(B18="","",IF(ISERROR(MATCH($J18,SorP!$B$1:$B$6279,0)),"",INDIRECT("'SorP'!$A$"&amp;MATCH($S18&amp;$J18,SorP!C:C,0))))</f>
        <v>PH-CAV</v>
      </c>
      <c r="U18" s="201"/>
      <c r="V18" s="226">
        <f ca="1">IF(C18="",NA(),IF(OR(C18="Smelter not listed",C18="Smelter not yet identified"),MATCH($B18&amp;$D18,'Smelter Look-up'!$J:$J,0),MATCH($B18&amp;$C18,'Smelter Look-up'!$J:$J,0)))</f>
        <v>480</v>
      </c>
      <c r="X18" s="227">
        <f t="shared" ca="1" si="4"/>
        <v>0</v>
      </c>
      <c r="AB18" s="228" t="str">
        <f t="shared" ca="1" si="5"/>
        <v>TinO.M. Manufacturing Philippines, Inc.</v>
      </c>
    </row>
    <row r="19" spans="1:28" s="227" customFormat="1" ht="20">
      <c r="A19" s="181" t="s">
        <v>1815</v>
      </c>
      <c r="B19" s="182" t="str">
        <f ca="1">IF(LEN(A19)=0,"",INDEX('Smelter Look-up'!$A:$A,MATCH($A19,'Smelter Look-up'!$E:$E,0)))</f>
        <v>Tin</v>
      </c>
      <c r="C19" s="186" t="str">
        <f ca="1">IF(LEN(A19)=0,"",INDEX('Smelter Look-up'!$C:$C,MATCH($A19,'Smelter Look-up'!$E:$E,0)))</f>
        <v>Aurubis Beerse</v>
      </c>
      <c r="D19" s="230"/>
      <c r="E19" s="182" t="str">
        <f ca="1">IF(ISERROR($V19),"",OFFSET('Smelter Look-up'!$D$4,$V19-4,0)&amp;"")</f>
        <v>BELGIUM</v>
      </c>
      <c r="F19" s="182" t="str">
        <f ca="1">IF(ISERROR($V19),"",OFFSET('Smelter Look-up'!$E$4,$V19-4,0))</f>
        <v>CID002773</v>
      </c>
      <c r="G19" s="182" t="str">
        <f ca="1">IF(C19=$X$4,IF(ISERROR($V19),"Enter smelter details","RMI"),IF(ISERROR($V19),"",OFFSET('Smelter Look-up'!$F$4,$V19-4,0)))</f>
        <v>RMI</v>
      </c>
      <c r="H19" s="183">
        <f ca="1">IF(ISERROR($V19),"",OFFSET('Smelter Look-up'!$G$4,$V19-4,0))</f>
        <v>0</v>
      </c>
      <c r="I19" s="184" t="str">
        <f ca="1">IF(ISERROR($V19),"",OFFSET('Smelter Look-up'!$H$4,$V19-4,0))</f>
        <v>Beerse</v>
      </c>
      <c r="J19" s="184" t="str">
        <f ca="1">IF(ISERROR($V19),"",OFFSET('Smelter Look-up'!$I$4,$V19-4,0))</f>
        <v>Antwerpen</v>
      </c>
      <c r="K19" s="224"/>
      <c r="L19" s="224"/>
      <c r="M19" s="224"/>
      <c r="N19" s="224"/>
      <c r="O19" s="224"/>
      <c r="P19" s="185"/>
      <c r="Q19" s="225"/>
      <c r="R19" s="182" t="str">
        <f ca="1">IF(ISERROR($V19),"",OFFSET('Smelter Look-up'!$C$4,$V19-4,0)&amp;"")</f>
        <v>Aurubis Beerse</v>
      </c>
      <c r="S19" s="181" t="str">
        <f t="shared" ca="1" si="3"/>
        <v>BE</v>
      </c>
      <c r="T19" s="181" t="str">
        <f ca="1">IF(B19="","",IF(ISERROR(MATCH($J19,SorP!$B$1:$B$6279,0)),"",INDIRECT("'SorP'!$A$"&amp;MATCH($S19&amp;$J19,SorP!C:C,0))))</f>
        <v>BE-VAN</v>
      </c>
      <c r="U19" s="201"/>
      <c r="V19" s="226">
        <f ca="1">IF(C19="",NA(),IF(OR(C19="Smelter not listed",C19="Smelter not yet identified"),MATCH($B19&amp;$D19,'Smelter Look-up'!$J:$J,0),MATCH($B19&amp;$C19,'Smelter Look-up'!$J:$J,0)))</f>
        <v>394</v>
      </c>
      <c r="X19" s="227">
        <f t="shared" ca="1" si="4"/>
        <v>0</v>
      </c>
      <c r="AB19" s="228" t="str">
        <f t="shared" ca="1" si="5"/>
        <v>TinAurubis Beerse</v>
      </c>
    </row>
    <row r="20" spans="1:28" s="227" customFormat="1" ht="20">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4CB61D64-0827-4E8E-B9EA-FBA5237218A9}"/>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41">
      <c r="A4" s="90" t="str">
        <f ca="1">Declaration!B8</f>
        <v>Company Name (*):</v>
      </c>
      <c r="B4" s="89" t="str">
        <f>Declaration!D8</f>
        <v>Bourns, Inc.</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B. Product (or List of Products)</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Go to Product List tab to enter products this declaration applies to</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Jessica Martin</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jessica.martin@bourns.com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951-781-5670</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Marvella Sanchez</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marvella.sanchez@bourns.com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45093</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806</v>
      </c>
      <c r="F13" s="93"/>
      <c r="H13" s="19">
        <f t="shared" si="3"/>
        <v>0</v>
      </c>
    </row>
    <row r="14" spans="1:10" ht="27.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 xml:space="preserve">Gold  </v>
      </c>
      <c r="B16" s="89" t="str">
        <f>Declaration!D28</f>
        <v>No</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804</v>
      </c>
      <c r="F18" s="93"/>
      <c r="J18" s="148"/>
    </row>
    <row r="19" spans="1:10" ht="41">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 xml:space="preserve">Gold  </v>
      </c>
      <c r="B21" s="89">
        <f>IF($B$16="Yes",Declaration!D34,0)</f>
        <v>0</v>
      </c>
      <c r="C21" s="89" t="str">
        <f ca="1">IF(H21=1,J21,I21)</f>
        <v>Complete</v>
      </c>
      <c r="D21" s="97" t="str">
        <f>IF(H21=1,"Click here to answer question 2 for Gold","")</f>
        <v/>
      </c>
      <c r="E21" s="20" t="s">
        <v>803</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41">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 xml:space="preserve">Gold  </v>
      </c>
      <c r="B26" s="89">
        <f>IF(AND($B$16="Yes",$B$21="Yes"),Declaration!D40,0)</f>
        <v>0</v>
      </c>
      <c r="C26" s="89" t="str">
        <f ca="1">IF(H26=1,J26,I26)</f>
        <v>Complete</v>
      </c>
      <c r="D26" s="97" t="str">
        <f>IF(H26=1,"Click here to answer question 3 for Gold","")</f>
        <v/>
      </c>
      <c r="E26" s="20" t="s">
        <v>803</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1302</v>
      </c>
      <c r="F33" s="93"/>
      <c r="J33" s="148"/>
    </row>
    <row r="34" spans="1:10" ht="41">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 xml:space="preserve">Gold  </v>
      </c>
      <c r="B36" s="89">
        <f>IF(AND($B$16="Yes",$B$21="Yes"),Declaration!D52,0)</f>
        <v>0</v>
      </c>
      <c r="C36" s="89" t="str">
        <f ca="1">IF(H36=1,J36,I36)</f>
        <v>Complete</v>
      </c>
      <c r="D36" s="260" t="str">
        <f>IF(H36=1,"Click here to answer question 5 for Gold","")</f>
        <v/>
      </c>
      <c r="E36" s="20" t="s">
        <v>1302</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803</v>
      </c>
      <c r="F38" s="93"/>
    </row>
    <row r="39" spans="1:10" ht="27.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 xml:space="preserve">Gold  </v>
      </c>
      <c r="B41" s="268">
        <f>IF(AND($B$16="Yes",$B$21="Yes"),Declaration!D58,0)</f>
        <v>0</v>
      </c>
      <c r="C41" s="89" t="str">
        <f ca="1">IF(H41=1,J41,I41)</f>
        <v>Complete</v>
      </c>
      <c r="D41" s="261" t="str">
        <f>IF(H41=1,"Click here to answer question 6 for Gold","")</f>
        <v/>
      </c>
      <c r="E41" s="20" t="s">
        <v>802</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804</v>
      </c>
      <c r="F43" s="93"/>
    </row>
    <row r="44" spans="1:10" ht="54.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 xml:space="preserve">Gold  </v>
      </c>
      <c r="B46" s="89">
        <f>IF(AND($B$16="Yes",$B$21="Yes"),Declaration!D64,0)</f>
        <v>0</v>
      </c>
      <c r="C46" s="89" t="str">
        <f ca="1">IF(H46=1,J46,I46)</f>
        <v>Complete</v>
      </c>
      <c r="D46" s="260" t="str">
        <f>IF(H46=1,"Click here to answer question 7 for Gold","")</f>
        <v/>
      </c>
      <c r="E46" s="20" t="s">
        <v>1298</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805</v>
      </c>
      <c r="F48" s="93"/>
    </row>
    <row r="49" spans="1:10" ht="41">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 xml:space="preserve">Gold  </v>
      </c>
      <c r="B51" s="89">
        <f>IF(AND($B$16="Yes",$B$21="Yes"),Declaration!D70,0)</f>
        <v>0</v>
      </c>
      <c r="C51" s="89" t="str">
        <f ca="1">IF(H51=1,J51,I51)</f>
        <v>Complete</v>
      </c>
      <c r="D51" s="261" t="str">
        <f>IF(H51=1,"Click here to answer question 8 for Gold","")</f>
        <v/>
      </c>
      <c r="E51" s="20" t="s">
        <v>803</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441</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5</v>
      </c>
      <c r="B56" s="89" t="str">
        <f>Declaration!G77</f>
        <v>http://www.bourns.com/docs/RoHS-Content/conflict_metals_statement.pdf?sfvrsn=f2ab84f1_11</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1295</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1302</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15157</v>
      </c>
      <c r="B65" s="89"/>
      <c r="C65" s="89" t="str">
        <f t="shared" ca="1" si="13"/>
        <v>Complete</v>
      </c>
      <c r="D65" s="95" t="str">
        <f ca="1">IF(H65=0,"","Click here to provide smelter information")</f>
        <v/>
      </c>
      <c r="E65" s="20" t="s">
        <v>1302</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1851</v>
      </c>
      <c r="B66" s="89"/>
      <c r="C66" s="89" t="str">
        <f t="shared" ca="1" si="13"/>
        <v>Complete</v>
      </c>
      <c r="D66" s="95" t="str">
        <f ca="1">IF(H66=0,"","Click here to provide smelter information")</f>
        <v/>
      </c>
      <c r="E66" s="20" t="s">
        <v>803</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1852</v>
      </c>
      <c r="B67" s="89"/>
      <c r="C67" s="89" t="str">
        <f t="shared" ca="1" si="13"/>
        <v>Complete</v>
      </c>
      <c r="D67" s="95" t="str">
        <f ca="1">IF(H67=0,"","Click here to provide smelter information")</f>
        <v/>
      </c>
      <c r="E67" s="20" t="s">
        <v>803</v>
      </c>
      <c r="F67" s="94">
        <f>F26</f>
        <v>0</v>
      </c>
      <c r="G67" s="70">
        <f ca="1">IF(AND(COUNTIF(SmelterIdetifiedForMetal,"Gold")&gt;0,COUNTIF('Smelter List'!AB$5:AB$2504,"Gold?*")&gt;0),0,1)</f>
        <v>1</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1853</v>
      </c>
      <c r="B68" s="89"/>
      <c r="C68" s="89" t="str">
        <f t="shared" ca="1" si="13"/>
        <v>Complete</v>
      </c>
      <c r="D68" s="95" t="str">
        <f ca="1">IF(H68=0,"","Click here to provide smelter information")</f>
        <v/>
      </c>
      <c r="E68" s="20" t="s">
        <v>803</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4"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28" sqref="B28"/>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400" t="s">
        <v>15808</v>
      </c>
      <c r="C6" s="399" t="s">
        <v>15809</v>
      </c>
      <c r="D6" s="98"/>
      <c r="E6" s="276"/>
    </row>
    <row r="7" spans="1:6" ht="15">
      <c r="A7" s="129"/>
      <c r="B7" s="400" t="s">
        <v>15810</v>
      </c>
      <c r="C7" s="399" t="s">
        <v>15809</v>
      </c>
      <c r="D7" s="98"/>
      <c r="E7" s="276"/>
    </row>
    <row r="8" spans="1:6" ht="15">
      <c r="A8" s="129"/>
      <c r="B8" s="400" t="s">
        <v>15811</v>
      </c>
      <c r="C8" s="399" t="s">
        <v>15812</v>
      </c>
      <c r="D8" s="98"/>
      <c r="E8" s="276"/>
    </row>
    <row r="9" spans="1:6" ht="15">
      <c r="A9" s="129"/>
      <c r="B9" s="400" t="s">
        <v>15813</v>
      </c>
      <c r="C9" s="399" t="s">
        <v>15812</v>
      </c>
      <c r="D9" s="98"/>
      <c r="E9" s="276"/>
    </row>
    <row r="10" spans="1:6" ht="15">
      <c r="A10" s="129"/>
      <c r="B10" s="400" t="s">
        <v>15814</v>
      </c>
      <c r="C10" s="399" t="s">
        <v>15812</v>
      </c>
      <c r="D10" s="98"/>
      <c r="E10" s="276"/>
    </row>
    <row r="11" spans="1:6" ht="15">
      <c r="A11" s="129"/>
      <c r="B11" s="400" t="s">
        <v>15815</v>
      </c>
      <c r="C11" s="399" t="s">
        <v>15812</v>
      </c>
      <c r="D11" s="98"/>
      <c r="E11" s="276"/>
    </row>
    <row r="12" spans="1:6" ht="15">
      <c r="A12" s="129"/>
      <c r="B12" s="400" t="s">
        <v>15816</v>
      </c>
      <c r="C12" s="399" t="s">
        <v>15812</v>
      </c>
      <c r="D12" s="98"/>
      <c r="E12" s="276"/>
    </row>
    <row r="13" spans="1:6" ht="15">
      <c r="A13" s="129"/>
      <c r="B13" s="400" t="s">
        <v>15817</v>
      </c>
      <c r="C13" s="399" t="s">
        <v>15812</v>
      </c>
      <c r="D13" s="98"/>
      <c r="E13" s="276"/>
    </row>
    <row r="14" spans="1:6" ht="15">
      <c r="A14" s="129"/>
      <c r="B14" s="400" t="s">
        <v>15818</v>
      </c>
      <c r="C14" s="399" t="s">
        <v>15812</v>
      </c>
      <c r="D14" s="98"/>
      <c r="E14" s="276"/>
    </row>
    <row r="15" spans="1:6" ht="15">
      <c r="A15" s="129"/>
      <c r="B15" s="400" t="s">
        <v>15819</v>
      </c>
      <c r="C15" s="399" t="s">
        <v>15812</v>
      </c>
      <c r="D15" s="98"/>
      <c r="E15" s="276"/>
    </row>
    <row r="16" spans="1:6" ht="15">
      <c r="A16" s="129"/>
      <c r="B16" s="400" t="s">
        <v>15820</v>
      </c>
      <c r="C16" s="399" t="s">
        <v>15812</v>
      </c>
      <c r="D16" s="98"/>
      <c r="E16" s="276"/>
    </row>
    <row r="17" spans="1:5" ht="15">
      <c r="A17" s="129"/>
      <c r="B17" s="400" t="s">
        <v>15821</v>
      </c>
      <c r="C17" s="399" t="s">
        <v>15812</v>
      </c>
      <c r="D17" s="98"/>
      <c r="E17" s="276"/>
    </row>
    <row r="18" spans="1:5" ht="15">
      <c r="A18" s="129"/>
      <c r="B18" s="400" t="s">
        <v>15822</v>
      </c>
      <c r="C18" s="399" t="s">
        <v>15812</v>
      </c>
      <c r="D18" s="98"/>
      <c r="E18" s="276"/>
    </row>
    <row r="19" spans="1:5" ht="15">
      <c r="A19" s="129"/>
      <c r="B19" s="400" t="s">
        <v>15823</v>
      </c>
      <c r="C19" s="399" t="s">
        <v>15812</v>
      </c>
      <c r="D19" s="98"/>
      <c r="E19" s="276"/>
    </row>
    <row r="20" spans="1:5" ht="15">
      <c r="A20" s="129"/>
      <c r="B20" s="400" t="s">
        <v>15824</v>
      </c>
      <c r="C20" s="399" t="s">
        <v>15824</v>
      </c>
      <c r="D20" s="98"/>
      <c r="E20" s="276"/>
    </row>
    <row r="21" spans="1:5" ht="15">
      <c r="A21" s="129"/>
      <c r="B21" s="400" t="s">
        <v>15825</v>
      </c>
      <c r="C21" s="399" t="s">
        <v>15825</v>
      </c>
      <c r="D21" s="98"/>
      <c r="E21" s="276"/>
    </row>
    <row r="22" spans="1:5" ht="15">
      <c r="A22" s="129"/>
      <c r="B22" s="400" t="s">
        <v>15826</v>
      </c>
      <c r="C22" s="399" t="s">
        <v>15826</v>
      </c>
      <c r="D22" s="98"/>
      <c r="E22" s="276"/>
    </row>
    <row r="23" spans="1:5" ht="15">
      <c r="A23" s="129"/>
      <c r="B23" s="400" t="s">
        <v>15827</v>
      </c>
      <c r="C23" s="399" t="s">
        <v>15827</v>
      </c>
      <c r="D23" s="98"/>
      <c r="E23" s="276"/>
    </row>
    <row r="24" spans="1:5" ht="15">
      <c r="A24" s="129"/>
      <c r="B24" s="400" t="s">
        <v>15828</v>
      </c>
      <c r="C24" s="399" t="s">
        <v>15829</v>
      </c>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2023 Responsible Minerals Initiative. All rights reserved.</v>
      </c>
      <c r="C2006" s="396"/>
      <c r="D2006" s="396"/>
      <c r="E2006" s="279"/>
    </row>
    <row r="2007" spans="1:5" ht="14"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1">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51">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0.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0.5">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0.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0.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0.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1">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1">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7.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0.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0.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48.5">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1.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0.5">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91.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55">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6">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16">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0.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8">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08">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08">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1.5">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64.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3">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88.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01.5">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0.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7">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7.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4">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1">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4.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1.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7.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7.5">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1">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2">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89">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6">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0.5">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02.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10.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48.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48.5">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297">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4.5">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0.5">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7">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7.5">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0.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1">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89">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3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48.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7.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08">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9.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08">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7.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48.5">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08">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70">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56.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1">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2.5">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02.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5.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0.5">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5">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4">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7">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7">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9">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40.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0.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9">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9">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40.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7">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7.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2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9">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0.5">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9">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7">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7">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7">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7">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7">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7">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27">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7">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7">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7">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7">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7">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0.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0.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4">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0.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4">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0.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0.5">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0.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0.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0.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4">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4">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4">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4">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7.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7.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7.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7.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67.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67.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67.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67.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67.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67.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4">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67.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0.5">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4">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4">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4">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0.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0.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0.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0.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4">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4">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4">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4.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0.5">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0.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0.5">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0.5">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0.5">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1">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7.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67.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Jessica Martin</cp:lastModifiedBy>
  <cp:lastPrinted>2015-04-21T20:47:43Z</cp:lastPrinted>
  <dcterms:created xsi:type="dcterms:W3CDTF">2010-06-21T21:00:23Z</dcterms:created>
  <dcterms:modified xsi:type="dcterms:W3CDTF">2023-06-16T17:01:46Z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